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3" autoFilterDateGrouping="1"/>
  </bookViews>
  <sheets>
    <sheet xmlns:r="http://schemas.openxmlformats.org/officeDocument/2006/relationships" name="Datos de Entrada" sheetId="1" state="visible" r:id="rId1"/>
    <sheet xmlns:r="http://schemas.openxmlformats.org/officeDocument/2006/relationships" name="Calcul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Esquemas" sheetId="4" state="visible" r:id="rId4"/>
  </sheets>
  <definedNames/>
  <calcPr calcId="124519" calcMode="auto" fullCalcOnLoad="1" refMode="A1" iterate="0" iterateCount="100" iterateDelta="0.0001" forceFullCalc="1"/>
</workbook>
</file>

<file path=xl/styles.xml><?xml version="1.0" encoding="utf-8"?>
<styleSheet xmlns="http://schemas.openxmlformats.org/spreadsheetml/2006/main">
  <numFmts count="4">
    <numFmt numFmtId="164" formatCode="0.0"/>
    <numFmt numFmtId="165" formatCode="0.0%"/>
    <numFmt numFmtId="166" formatCode="0.000"/>
    <numFmt numFmtId="167" formatCode="0.0000"/>
  </numFmts>
  <fonts count="16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0"/>
      <b val="1"/>
      <color rgb="FFFFFFFF"/>
      <sz val="13"/>
    </font>
    <font>
      <name val="Calibri"/>
      <charset val="1"/>
      <family val="0"/>
      <i val="1"/>
      <color rgb="FFC00000"/>
      <sz val="9"/>
    </font>
    <font>
      <name val="Calibri"/>
      <charset val="1"/>
      <family val="0"/>
      <sz val="11"/>
    </font>
    <font>
      <name val="Calibri"/>
      <charset val="1"/>
      <family val="0"/>
      <b val="1"/>
      <color rgb="FF000000"/>
      <sz val="10"/>
    </font>
    <font>
      <name val="Calibri"/>
      <charset val="1"/>
      <family val="0"/>
      <color rgb="FF000000"/>
      <sz val="10"/>
    </font>
    <font>
      <name val="Calibri"/>
      <charset val="1"/>
      <family val="0"/>
      <color rgb="FF0000FF"/>
      <sz val="10"/>
    </font>
    <font>
      <name val="Calibri"/>
      <charset val="1"/>
      <family val="0"/>
      <color rgb="FF595959"/>
      <sz val="10"/>
    </font>
    <font>
      <name val="Calibri"/>
      <charset val="1"/>
      <family val="0"/>
      <i val="1"/>
      <color rgb="FF595959"/>
      <sz val="9"/>
    </font>
    <font>
      <name val="Arial"/>
      <family val="2"/>
      <sz val="10"/>
    </font>
    <font>
      <name val="Calibri"/>
      <charset val="1"/>
      <family val="0"/>
      <b val="1"/>
      <sz val="10"/>
    </font>
    <font>
      <name val="Calibri"/>
      <charset val="1"/>
      <family val="0"/>
      <color rgb="FF008000"/>
      <sz val="10"/>
    </font>
    <font>
      <name val="Calibri"/>
      <charset val="1"/>
      <family val="0"/>
      <b val="1"/>
      <color rgb="FF008000"/>
      <sz val="10"/>
    </font>
  </fonts>
  <fills count="6">
    <fill>
      <patternFill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BDD7EE"/>
        <bgColor rgb="FFC6E0B4"/>
      </patternFill>
    </fill>
    <fill>
      <patternFill patternType="solid">
        <fgColor rgb="FFFFFF00"/>
        <bgColor rgb="FFFFFF00"/>
      </patternFill>
    </fill>
    <fill>
      <patternFill patternType="solid">
        <fgColor rgb="FFE7E6E6"/>
        <bgColor rgb="FFF4CCCC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73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general" vertical="center" wrapText="1"/>
    </xf>
    <xf numFmtId="0" fontId="6" fillId="0" borderId="0" applyAlignment="1" pivotButton="0" quotePrefix="0" xfId="0">
      <alignment horizontal="general" vertical="bottom"/>
    </xf>
    <xf numFmtId="0" fontId="7" fillId="3" borderId="1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general" vertical="center" wrapText="1"/>
    </xf>
    <xf numFmtId="0" fontId="8" fillId="0" borderId="0" applyAlignment="1" pivotButton="0" quotePrefix="0" xfId="0">
      <alignment horizontal="center" vertical="center"/>
    </xf>
    <xf numFmtId="1" fontId="9" fillId="4" borderId="0" applyAlignment="1" pivotButton="0" quotePrefix="0" xfId="0">
      <alignment horizontal="general" vertical="center"/>
    </xf>
    <xf numFmtId="0" fontId="8" fillId="0" borderId="0" applyAlignment="1" pivotButton="0" quotePrefix="0" xfId="0">
      <alignment horizontal="center" vertical="center" wrapText="1"/>
    </xf>
    <xf numFmtId="2" fontId="9" fillId="4" borderId="0" applyAlignment="1" pivotButton="0" quotePrefix="0" xfId="0">
      <alignment horizontal="general" vertical="center"/>
    </xf>
    <xf numFmtId="0" fontId="9" fillId="4" borderId="0" applyAlignment="1" pivotButton="0" quotePrefix="0" xfId="0">
      <alignment horizontal="general" vertical="center"/>
    </xf>
    <xf numFmtId="164" fontId="9" fillId="4" borderId="0" applyAlignment="1" pivotButton="0" quotePrefix="0" xfId="0">
      <alignment horizontal="general" vertical="center"/>
    </xf>
    <xf numFmtId="11" fontId="9" fillId="4" borderId="0" applyAlignment="1" pivotButton="0" quotePrefix="0" xfId="0">
      <alignment horizontal="general" vertical="center"/>
    </xf>
    <xf numFmtId="165" fontId="9" fillId="4" borderId="0" applyAlignment="1" pivotButton="0" quotePrefix="0" xfId="0">
      <alignment horizontal="general" vertical="center"/>
    </xf>
    <xf numFmtId="0" fontId="7" fillId="3" borderId="0" applyAlignment="1" pivotButton="0" quotePrefix="0" xfId="0">
      <alignment horizontal="general" vertical="center" wrapText="1"/>
    </xf>
    <xf numFmtId="2" fontId="10" fillId="5" borderId="0" applyAlignment="1" pivotButton="0" quotePrefix="0" xfId="0">
      <alignment horizontal="general" vertical="center"/>
    </xf>
    <xf numFmtId="166" fontId="10" fillId="5" borderId="0" applyAlignment="1" pivotButton="0" quotePrefix="0" xfId="0">
      <alignment horizontal="general" vertical="center"/>
    </xf>
    <xf numFmtId="166" fontId="9" fillId="4" borderId="0" applyAlignment="1" pivotButton="0" quotePrefix="0" xfId="0">
      <alignment horizontal="general" vertical="center"/>
    </xf>
    <xf numFmtId="0" fontId="11" fillId="0" borderId="0" applyAlignment="1" pivotButton="0" quotePrefix="0" xfId="0">
      <alignment horizontal="general" vertical="center" wrapText="1"/>
    </xf>
    <xf numFmtId="2" fontId="8" fillId="0" borderId="0" applyAlignment="1" pivotButton="0" quotePrefix="0" xfId="0">
      <alignment horizontal="general" vertical="center"/>
    </xf>
    <xf numFmtId="166" fontId="8" fillId="0" borderId="0" applyAlignment="1" pivotButton="0" quotePrefix="0" xfId="0">
      <alignment horizontal="general" vertical="center"/>
    </xf>
    <xf numFmtId="167" fontId="8" fillId="0" borderId="0" applyAlignment="1" pivotButton="0" quotePrefix="0" xfId="0">
      <alignment horizontal="general" vertical="center"/>
    </xf>
    <xf numFmtId="165" fontId="8" fillId="0" borderId="0" applyAlignment="1" pivotButton="0" quotePrefix="0" xfId="0">
      <alignment horizontal="general" vertical="center"/>
    </xf>
    <xf numFmtId="11" fontId="8" fillId="0" borderId="0" applyAlignment="1" pivotButton="0" quotePrefix="0" xfId="0">
      <alignment horizontal="general" vertical="center"/>
    </xf>
    <xf numFmtId="0" fontId="8" fillId="0" borderId="0" applyAlignment="1" pivotButton="0" quotePrefix="0" xfId="0">
      <alignment horizontal="general" vertical="center"/>
    </xf>
    <xf numFmtId="0" fontId="8" fillId="0" borderId="0" applyAlignment="1" pivotButton="0" quotePrefix="0" xfId="0">
      <alignment horizontal="general" vertical="center" wrapText="1"/>
    </xf>
    <xf numFmtId="0" fontId="7" fillId="0" borderId="0" applyAlignment="1" pivotButton="0" quotePrefix="0" xfId="0">
      <alignment horizontal="general" vertical="center"/>
    </xf>
    <xf numFmtId="0" fontId="11" fillId="0" borderId="0" applyAlignment="1" pivotButton="0" quotePrefix="0" xfId="0">
      <alignment horizontal="general" vertical="center" wrapText="1"/>
    </xf>
    <xf numFmtId="0" fontId="13" fillId="0" borderId="0" applyAlignment="1" pivotButton="0" quotePrefix="0" xfId="0">
      <alignment horizontal="general" vertical="center" wrapText="1"/>
    </xf>
    <xf numFmtId="0" fontId="14" fillId="0" borderId="0" applyAlignment="1" pivotButton="0" quotePrefix="0" xfId="0">
      <alignment horizontal="general" vertical="center"/>
    </xf>
    <xf numFmtId="0" fontId="6" fillId="0" borderId="0" applyAlignment="1" pivotButton="0" quotePrefix="0" xfId="0">
      <alignment horizontal="general" vertical="center" wrapText="1"/>
    </xf>
    <xf numFmtId="2" fontId="14" fillId="0" borderId="0" applyAlignment="1" pivotButton="0" quotePrefix="0" xfId="0">
      <alignment horizontal="general" vertical="center"/>
    </xf>
    <xf numFmtId="1" fontId="14" fillId="0" borderId="0" applyAlignment="1" pivotButton="0" quotePrefix="0" xfId="0">
      <alignment horizontal="general" vertical="center"/>
    </xf>
    <xf numFmtId="165" fontId="14" fillId="0" borderId="0" applyAlignment="1" pivotButton="0" quotePrefix="0" xfId="0">
      <alignment horizontal="general" vertical="center"/>
    </xf>
    <xf numFmtId="11" fontId="14" fillId="0" borderId="0" applyAlignment="1" pivotButton="0" quotePrefix="0" xfId="0">
      <alignment horizontal="general" vertical="center"/>
    </xf>
    <xf numFmtId="0" fontId="15" fillId="0" borderId="0" applyAlignment="1" pivotButton="0" quotePrefix="0" xfId="0">
      <alignment horizontal="general" vertical="center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general" vertical="center" wrapText="1"/>
    </xf>
    <xf numFmtId="0" fontId="6" fillId="0" borderId="0" applyAlignment="1" pivotButton="0" quotePrefix="0" xfId="0">
      <alignment horizontal="general" vertical="bottom"/>
    </xf>
    <xf numFmtId="0" fontId="7" fillId="3" borderId="1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general" vertical="center" wrapText="1"/>
    </xf>
    <xf numFmtId="0" fontId="8" fillId="0" borderId="0" applyAlignment="1" pivotButton="0" quotePrefix="0" xfId="0">
      <alignment horizontal="center" vertical="center"/>
    </xf>
    <xf numFmtId="1" fontId="9" fillId="4" borderId="0" applyAlignment="1" pivotButton="0" quotePrefix="0" xfId="0">
      <alignment horizontal="general" vertical="center"/>
    </xf>
    <xf numFmtId="0" fontId="8" fillId="0" borderId="0" applyAlignment="1" pivotButton="0" quotePrefix="0" xfId="0">
      <alignment horizontal="center" vertical="center" wrapText="1"/>
    </xf>
    <xf numFmtId="2" fontId="9" fillId="4" borderId="0" applyAlignment="1" pivotButton="0" quotePrefix="0" xfId="0">
      <alignment horizontal="general" vertical="center"/>
    </xf>
    <xf numFmtId="0" fontId="9" fillId="4" borderId="0" applyAlignment="1" pivotButton="0" quotePrefix="0" xfId="0">
      <alignment horizontal="general" vertical="center"/>
    </xf>
    <xf numFmtId="164" fontId="9" fillId="4" borderId="0" applyAlignment="1" pivotButton="0" quotePrefix="0" xfId="0">
      <alignment horizontal="general" vertical="center"/>
    </xf>
    <xf numFmtId="11" fontId="9" fillId="4" borderId="0" applyAlignment="1" pivotButton="0" quotePrefix="0" xfId="0">
      <alignment horizontal="general" vertical="center"/>
    </xf>
    <xf numFmtId="165" fontId="9" fillId="4" borderId="0" applyAlignment="1" pivotButton="0" quotePrefix="0" xfId="0">
      <alignment horizontal="general" vertical="center"/>
    </xf>
    <xf numFmtId="0" fontId="7" fillId="3" borderId="0" applyAlignment="1" pivotButton="0" quotePrefix="0" xfId="0">
      <alignment horizontal="general" vertical="center" wrapText="1"/>
    </xf>
    <xf numFmtId="2" fontId="10" fillId="5" borderId="0" applyAlignment="1" pivotButton="0" quotePrefix="0" xfId="0">
      <alignment horizontal="general" vertical="center"/>
    </xf>
    <xf numFmtId="166" fontId="10" fillId="5" borderId="0" applyAlignment="1" pivotButton="0" quotePrefix="0" xfId="0">
      <alignment horizontal="general" vertical="center"/>
    </xf>
    <xf numFmtId="166" fontId="9" fillId="4" borderId="0" applyAlignment="1" pivotButton="0" quotePrefix="0" xfId="0">
      <alignment horizontal="general" vertical="center"/>
    </xf>
    <xf numFmtId="0" fontId="11" fillId="0" borderId="0" applyAlignment="1" pivotButton="0" quotePrefix="0" xfId="0">
      <alignment horizontal="general" vertical="center" wrapText="1"/>
    </xf>
    <xf numFmtId="2" fontId="8" fillId="0" borderId="0" applyAlignment="1" pivotButton="0" quotePrefix="0" xfId="0">
      <alignment horizontal="general" vertical="center"/>
    </xf>
    <xf numFmtId="166" fontId="8" fillId="0" borderId="0" applyAlignment="1" pivotButton="0" quotePrefix="0" xfId="0">
      <alignment horizontal="general" vertical="center"/>
    </xf>
    <xf numFmtId="167" fontId="8" fillId="0" borderId="0" applyAlignment="1" pivotButton="0" quotePrefix="0" xfId="0">
      <alignment horizontal="general" vertical="center"/>
    </xf>
    <xf numFmtId="165" fontId="8" fillId="0" borderId="0" applyAlignment="1" pivotButton="0" quotePrefix="0" xfId="0">
      <alignment horizontal="general" vertical="center"/>
    </xf>
    <xf numFmtId="11" fontId="8" fillId="0" borderId="0" applyAlignment="1" pivotButton="0" quotePrefix="0" xfId="0">
      <alignment horizontal="general" vertical="center"/>
    </xf>
    <xf numFmtId="0" fontId="8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/>
    </xf>
    <xf numFmtId="0" fontId="13" fillId="0" borderId="0" applyAlignment="1" pivotButton="0" quotePrefix="0" xfId="0">
      <alignment horizontal="general" vertical="center" wrapText="1"/>
    </xf>
    <xf numFmtId="0" fontId="14" fillId="0" borderId="0" applyAlignment="1" pivotButton="0" quotePrefix="0" xfId="0">
      <alignment horizontal="general" vertical="center"/>
    </xf>
    <xf numFmtId="0" fontId="6" fillId="0" borderId="0" applyAlignment="1" pivotButton="0" quotePrefix="0" xfId="0">
      <alignment horizontal="general" vertical="center" wrapText="1"/>
    </xf>
    <xf numFmtId="2" fontId="14" fillId="0" borderId="0" applyAlignment="1" pivotButton="0" quotePrefix="0" xfId="0">
      <alignment horizontal="general" vertical="center"/>
    </xf>
    <xf numFmtId="1" fontId="14" fillId="0" borderId="0" applyAlignment="1" pivotButton="0" quotePrefix="0" xfId="0">
      <alignment horizontal="general" vertical="center"/>
    </xf>
    <xf numFmtId="165" fontId="14" fillId="0" borderId="0" applyAlignment="1" pivotButton="0" quotePrefix="0" xfId="0">
      <alignment horizontal="general" vertical="center"/>
    </xf>
    <xf numFmtId="11" fontId="14" fillId="0" borderId="0" applyAlignment="1" pivotButton="0" quotePrefix="0" xfId="0">
      <alignment horizontal="general" vertical="center"/>
    </xf>
    <xf numFmtId="0" fontId="15" fillId="0" borderId="0" applyAlignment="1" pivotButton="0" quotePrefix="0" xfId="0">
      <alignment horizontal="general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2">
    <dxf>
      <fill>
        <patternFill>
          <bgColor rgb="FFC6E0B4"/>
        </patternFill>
      </fill>
    </dxf>
    <dxf>
      <fill>
        <patternFill>
          <bgColor rgb="FFF4CCCC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0B4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OpenAI</author>
  </authors>
  <commentList>
    <comment ref="C21" authorId="0" shapeId="0">
      <text>
        <t>La profundidad útil habitual de las Lagunas Facultativas es 1,5-2,0 m. En los dimensionamientos básicos de la Guía se adopta 1,8 m.
https://ceh.cedex.es/web/documentos/FCAS/2_Guia_PTAR_Bolivia.pdf</t>
      </text>
    </comment>
    <comment ref="C22" authorId="0" shapeId="0">
      <text>
        <t>Para Lagunas Facultativas Primarias se recomiendan relaciones largo/ancho entre 2 y 4. En las Secundarias existe mayor flexibilidad; en los dimensionamientos básicos se adopta 3/1.
https://ceh.cedex.es/web/documentos/FCAS/2_Guia_PTAR_Bolivia.pdf</t>
      </text>
    </comment>
    <comment ref="C23" authorId="0" shapeId="0">
      <text>
        <t>La Guía establece taludes interiores entre 1/2 y 1/3 (vertical/horizontal), equivalentes a H/V entre 2 y 3. En los dimensionamientos básicos se adopta 1/2 (V/H), es decir H/V=2.
https://ceh.cedex.es/web/documentos/FCAS/2_Guia_PTAR_Bolivia.pdf</t>
      </text>
    </comment>
    <comment ref="C24" authorId="0" shapeId="0">
      <text>
        <t>La Guía establece taludes exteriores entre 1/1,5 y 1/2 (vertical/horizontal), equivalentes a H/V entre 1,5 y 2.
https://ceh.cedex.es/web/documentos/FCAS/2_Guia_PTAR_Bolivia.pdf</t>
      </text>
    </comment>
    <comment ref="C25" authorId="0" shapeId="0">
      <text>
        <t>La carga superficial calculada por Mara (1997) es una carga máxima de referencia. El factor debe ser ≤1 salvo justificación técnica específica.
https://ceh.cedex.es/web/documentos/FCAS/2_Guia_PTAR_Bolivia.pdf</t>
      </text>
    </comment>
    <comment ref="C26" authorId="0" shapeId="0">
      <text>
        <t>En los dimensionamientos básicos se deja 0,5 m de resguardo en lagunas menores de 1 ha y 1,0 m en las mayores.
https://ceh.cedex.es/web/documentos/FCAS/2_Guia_PTAR_Bolivia.pdf</t>
      </text>
    </comment>
    <comment ref="C27" authorId="0" shapeId="0">
      <text>
        <t>La coronación debe tener un ancho mínimo de 1,5 m; lo habitual es trabajar con 2-4 m.
https://ceh.cedex.es/web/documentos/FCAS/2_Guia_PTAR_Bolivia.pdf</t>
      </text>
    </comment>
    <comment ref="C28" authorId="0" shapeId="0">
      <text>
        <t>Para convertir DBO5 soluble a DBO5 total, la Guía asume que 1 mg/L de SST en el efluente equivale a 0,35 mg/L de DBO5 particulada. Se cita un rango habitual de SST de 60-100 mg/L.
https://ceh.cedex.es/web/documentos/FCAS/2_Guia_PTAR_Bolivia.pdf</t>
      </text>
    </comment>
    <comment ref="C29" authorId="0" shapeId="0">
      <text>
        <t>Corrección térmica de K para DBO5: KT = K20·θ^(T-20), con θ = 1,035 (Arceivala, 1981), citado por la Guía.
https://ceh.cedex.es/web/documentos/FCAS/2_Guia_PTAR_Bolivia.pdf</t>
      </text>
    </comment>
    <comment ref="C30" authorId="0" shapeId="0">
      <text>
        <t>Von Sperling (2016), citado por la Guía, aconseja reducir el Kb calculado aproximadamente 5-15% en Lagunas Facultativas. Se adopta 10% como valor central editable.
https://ceh.cedex.es/web/documentos/FCAS/2_Guia_PTAR_Bolivia.pdf</t>
      </text>
    </comment>
    <comment ref="C31" authorId="0" shapeId="0">
      <text>
        <t>Corrección térmica de Kb: KbT = Kb20·θ^(T-20), con θ ≈ 1,07.
https://ceh.cedex.es/web/documentos/FCAS/2_Guia_PTAR_Bolivia.pdf</t>
      </text>
    </comment>
    <comment ref="C32" authorId="0" shapeId="0">
      <text>
        <t>Tabla 7.19: acumulación de lodos 0,03-0,09 m³/hab/año en Facultativas Primarias y 0,03-0,05 m³/hab/año en Facultativas Secundarias.
https://ceh.cedex.es/web/documentos/FCAS/2_Guia_PTAR_Bolivia.pdf</t>
      </text>
    </comment>
    <comment ref="C33" authorId="0" shapeId="0">
      <text>
        <t>Tabla 7.28: frecuencia aproximada de extracción de lodos en Lagunas Facultativas Primarias y Secundarias ≥15 años.
https://ceh.cedex.es/web/documentos/FCAS/2_Guia_PTAR_Bolivia.pdf</t>
      </text>
    </comment>
    <comment ref="C34" authorId="0" shapeId="0">
      <text>
        <t>La Guía de tecnologías alternativas citada por la Guía PTAR recomienda 500-1.000 m respecto de centros poblados para Lagunas Facultativas.
https://ceh.cedex.es/web/documentos/FCAS/2_Guia_PTAR_Bolivia.pdf</t>
      </text>
    </comment>
    <comment ref="C35" authorId="0" shapeId="0">
      <text>
        <t>Antes de la primera laguna se requiere pretratamiento, integrado al menos por desbaste y desarenado.
https://ceh.cedex.es/web/documentos/FCAS/2_Guia_PTAR_Bolivia.pdf</t>
      </text>
    </comment>
    <comment ref="C36" authorId="0" shapeId="0">
      <text>
        <t>La Guía indica disponer medición de caudal tras el pretratamiento.
https://ceh.cedex.es/web/documentos/FCAS/2_Guia_PTAR_Bolivia.pdf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3</row>
      <rowOff>0</rowOff>
    </from>
    <to>
      <col>8</col>
      <colOff>376920</colOff>
      <row>26</row>
      <rowOff>123120</rowOff>
    </to>
    <pic>
      <nvPicPr>
        <cNvPr id="0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942840"/>
          <a:ext cx="7143480" cy="4285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6</col>
      <colOff>0</colOff>
      <row>3</row>
      <rowOff>0</rowOff>
    </from>
    <to>
      <col>15</col>
      <colOff>330840</colOff>
      <row>27</row>
      <rowOff>37800</rowOff>
    </to>
    <pic>
      <nvPicPr>
        <cNvPr id="1" name="Image 2" descr="Picture"/>
        <cNvPicPr/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5074920" y="942840"/>
          <a:ext cx="7238520" cy="43812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w="0">
          <a:noFill/>
          <a:prstDash val="solid"/>
        </a:ln>
      </spPr>
    </pic>
    <clientData/>
  </twoCellAnchor>
  <twoCellAnchor editAs="oneCell">
    <from>
      <col>0</col>
      <colOff>0</colOff>
      <row>37</row>
      <rowOff>0</rowOff>
    </from>
    <to>
      <col>13</col>
      <colOff>478440</colOff>
      <row>54</row>
      <rowOff>161280</rowOff>
    </to>
    <pic>
      <nvPicPr>
        <cNvPr id="2" name="Image 3" descr="Picture"/>
        <cNvPicPr/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xfrm xmlns:a="http://schemas.openxmlformats.org/drawingml/2006/main">
          <a:off x="0" y="7095960"/>
          <a:ext cx="11239200" cy="32382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D4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C17" activeCellId="0" sqref="C17"/>
    </sheetView>
  </sheetViews>
  <sheetFormatPr baseColWidth="8" defaultColWidth="8.66796875" defaultRowHeight="14.25" customHeight="1" zeroHeight="0" outlineLevelRow="0"/>
  <cols>
    <col width="60" customWidth="1" style="37" min="1" max="1"/>
    <col width="12" customWidth="1" style="37" min="2" max="2"/>
    <col width="17" customWidth="1" style="37" min="3" max="3"/>
    <col width="16" customWidth="1" style="37" min="4" max="4"/>
  </cols>
  <sheetData>
    <row r="1" ht="21.75" customHeight="1" s="38">
      <c r="A1" s="39" t="inlineStr">
        <is>
          <t>LAGUNA FACULTATIVA - DATOS DE ENTRADA</t>
        </is>
      </c>
    </row>
    <row r="2" ht="36" customHeight="1" s="38">
      <c r="A2" s="40" t="inlineStr">
        <is>
          <t>Celdas amarillas: editar con datos reales del proyecto. Celdas grises: criterios de referencia de la Guía. La hoja diferencia Laguna Facultativa Primaria y Secundaria y verifica carga superficial, TRH, geometría y calidad de efluente.</t>
        </is>
      </c>
    </row>
    <row r="3" ht="14.25" customHeight="1" s="38">
      <c r="A3" s="41" t="n"/>
      <c r="B3" s="41" t="n"/>
      <c r="C3" s="41" t="n"/>
      <c r="D3" s="41" t="n"/>
    </row>
    <row r="4" ht="18.75" customHeight="1" s="38">
      <c r="A4" s="42" t="inlineStr">
        <is>
          <t>Parámetro</t>
        </is>
      </c>
      <c r="B4" s="43" t="inlineStr">
        <is>
          <t>Símbolo</t>
        </is>
      </c>
      <c r="C4" s="43" t="inlineStr">
        <is>
          <t>Valor</t>
        </is>
      </c>
      <c r="D4" s="43" t="inlineStr">
        <is>
          <t>Unidad</t>
        </is>
      </c>
    </row>
    <row r="5" ht="18.75" customHeight="1" s="38">
      <c r="A5" s="44" t="inlineStr">
        <is>
          <t>Población de diseño</t>
        </is>
      </c>
      <c r="B5" s="45" t="inlineStr">
        <is>
          <t>P</t>
        </is>
      </c>
      <c r="C5" s="46" t="n">
        <v>1000</v>
      </c>
      <c r="D5" s="47" t="inlineStr">
        <is>
          <t>hab</t>
        </is>
      </c>
    </row>
    <row r="6" ht="18.75" customHeight="1" s="38">
      <c r="A6" s="44" t="inlineStr">
        <is>
          <t>Dotación de agua potable</t>
        </is>
      </c>
      <c r="B6" s="45" t="inlineStr">
        <is>
          <t>Dot</t>
        </is>
      </c>
      <c r="C6" s="46" t="n">
        <v>150</v>
      </c>
      <c r="D6" s="47" t="inlineStr">
        <is>
          <t>L/hab/día</t>
        </is>
      </c>
    </row>
    <row r="7" ht="18.75" customHeight="1" s="38">
      <c r="A7" s="44" t="inlineStr">
        <is>
          <t>Coeficiente de retorno</t>
        </is>
      </c>
      <c r="B7" s="45" t="inlineStr">
        <is>
          <t>Cr</t>
        </is>
      </c>
      <c r="C7" s="48" t="n">
        <v>0.8</v>
      </c>
      <c r="D7" s="47" t="inlineStr">
        <is>
          <t>-</t>
        </is>
      </c>
    </row>
    <row r="8" ht="18.75" customHeight="1" s="38">
      <c r="A8" s="44" t="inlineStr">
        <is>
          <t>Zona ecológica</t>
        </is>
      </c>
      <c r="B8" s="45" t="inlineStr">
        <is>
          <t>ZE</t>
        </is>
      </c>
      <c r="C8" s="49" t="inlineStr">
        <is>
          <t>Valles</t>
        </is>
      </c>
      <c r="D8" s="47" t="inlineStr">
        <is>
          <t>-</t>
        </is>
      </c>
    </row>
    <row r="9" ht="18.75" customHeight="1" s="38">
      <c r="A9" s="44" t="inlineStr">
        <is>
          <t>Temperatura media del aire del mes más frío</t>
        </is>
      </c>
      <c r="B9" s="45" t="inlineStr">
        <is>
          <t>Ta</t>
        </is>
      </c>
      <c r="C9" s="50" t="n">
        <v>18</v>
      </c>
      <c r="D9" s="47" t="inlineStr">
        <is>
          <t>°C</t>
        </is>
      </c>
    </row>
    <row r="10" ht="18.75" customHeight="1" s="38">
      <c r="A10" s="44" t="inlineStr">
        <is>
          <t>Temperatura media del agua residual del mes más frío</t>
        </is>
      </c>
      <c r="B10" s="45" t="inlineStr">
        <is>
          <t>Tw</t>
        </is>
      </c>
      <c r="C10" s="50" t="n">
        <v>20</v>
      </c>
      <c r="D10" s="47" t="inlineStr">
        <is>
          <t>°C</t>
        </is>
      </c>
    </row>
    <row r="11" ht="18.75" customHeight="1" s="38">
      <c r="A11" s="44" t="inlineStr">
        <is>
          <t>Tipo de Laguna Facultativa</t>
        </is>
      </c>
      <c r="B11" s="45" t="inlineStr">
        <is>
          <t>Tipo</t>
        </is>
      </c>
      <c r="C11" s="49" t="inlineStr">
        <is>
          <t>Primaria</t>
        </is>
      </c>
      <c r="D11" s="47" t="inlineStr">
        <is>
          <t>-</t>
        </is>
      </c>
    </row>
    <row r="12" ht="18.75" customHeight="1" s="38">
      <c r="A12" s="44" t="inlineStr">
        <is>
          <t>DBO5 del agua residual cruda</t>
        </is>
      </c>
      <c r="B12" s="45" t="inlineStr">
        <is>
          <t>DBO0</t>
        </is>
      </c>
      <c r="C12" s="46" t="n">
        <v>400</v>
      </c>
      <c r="D12" s="47" t="inlineStr">
        <is>
          <t>mg/L</t>
        </is>
      </c>
    </row>
    <row r="13" ht="18.75" customHeight="1" s="38">
      <c r="A13" s="44" t="inlineStr">
        <is>
          <t>SST del agua residual cruda</t>
        </is>
      </c>
      <c r="B13" s="45" t="inlineStr">
        <is>
          <t>SST0</t>
        </is>
      </c>
      <c r="C13" s="46" t="n">
        <v>450</v>
      </c>
      <c r="D13" s="47" t="inlineStr">
        <is>
          <t>mg/L</t>
        </is>
      </c>
    </row>
    <row r="14" ht="18.75" customHeight="1" s="38">
      <c r="A14" s="44" t="inlineStr">
        <is>
          <t>DQO del agua residual cruda</t>
        </is>
      </c>
      <c r="B14" s="45" t="inlineStr">
        <is>
          <t>DQO0</t>
        </is>
      </c>
      <c r="C14" s="46" t="n">
        <v>750</v>
      </c>
      <c r="D14" s="47" t="inlineStr">
        <is>
          <t>mg/L</t>
        </is>
      </c>
    </row>
    <row r="15" ht="18.75" customHeight="1" s="38">
      <c r="A15" s="44" t="inlineStr">
        <is>
          <t>Coliformes fecales del afluente</t>
        </is>
      </c>
      <c r="B15" s="45" t="inlineStr">
        <is>
          <t>CF0</t>
        </is>
      </c>
      <c r="C15" s="51" t="n">
        <v>10000000</v>
      </c>
      <c r="D15" s="47" t="inlineStr">
        <is>
          <t>NMP/100 mL</t>
        </is>
      </c>
    </row>
    <row r="16" ht="18.75" customHeight="1" s="38">
      <c r="A16" s="44" t="inlineStr">
        <is>
          <t>Remoción DBO5 en etapa previa (0 si Primaria)</t>
        </is>
      </c>
      <c r="B16" s="45" t="inlineStr">
        <is>
          <t>ηDBO,p</t>
        </is>
      </c>
      <c r="C16" s="52" t="n">
        <v>0</v>
      </c>
      <c r="D16" s="47" t="inlineStr">
        <is>
          <t>fracción</t>
        </is>
      </c>
    </row>
    <row r="17" ht="18.75" customHeight="1" s="38">
      <c r="A17" s="44" t="inlineStr">
        <is>
          <t>Remoción SST en etapa previa (0 si Primaria)</t>
        </is>
      </c>
      <c r="B17" s="45" t="inlineStr">
        <is>
          <t>ηSST,p</t>
        </is>
      </c>
      <c r="C17" s="52" t="n">
        <v>0</v>
      </c>
      <c r="D17" s="47" t="inlineStr">
        <is>
          <t>fracción</t>
        </is>
      </c>
    </row>
    <row r="18" ht="18.75" customHeight="1" s="38">
      <c r="A18" s="41" t="n"/>
      <c r="B18" s="41" t="n"/>
      <c r="C18" s="41" t="n"/>
      <c r="D18" s="41" t="n"/>
    </row>
    <row r="19" ht="18.75" customHeight="1" s="38">
      <c r="A19" s="53" t="inlineStr">
        <is>
          <t>PARÁMETROS DE DISEÑO DE LA LAGUNA FACULTATIVA</t>
        </is>
      </c>
    </row>
    <row r="20" ht="18.75" customHeight="1" s="38">
      <c r="A20" s="44" t="inlineStr">
        <is>
          <t>Número de lagunas en paralelo</t>
        </is>
      </c>
      <c r="B20" s="45" t="inlineStr">
        <is>
          <t>n</t>
        </is>
      </c>
      <c r="C20" s="46" t="n">
        <v>1</v>
      </c>
      <c r="D20" s="47" t="inlineStr">
        <is>
          <t>unid</t>
        </is>
      </c>
    </row>
    <row r="21" ht="18.75" customHeight="1" s="38">
      <c r="A21" s="44" t="inlineStr">
        <is>
          <t>Profundidad útil de agua</t>
        </is>
      </c>
      <c r="B21" s="45" t="inlineStr">
        <is>
          <t>h</t>
        </is>
      </c>
      <c r="C21" s="48" t="n">
        <v>1.8</v>
      </c>
      <c r="D21" s="47" t="inlineStr">
        <is>
          <t>m</t>
        </is>
      </c>
    </row>
    <row r="22" ht="18.75" customHeight="1" s="38">
      <c r="A22" s="44" t="inlineStr">
        <is>
          <t>Relación largo/ancho de la lámina de agua</t>
        </is>
      </c>
      <c r="B22" s="45" t="inlineStr">
        <is>
          <t>L/B</t>
        </is>
      </c>
      <c r="C22" s="48" t="n">
        <v>3</v>
      </c>
      <c r="D22" s="47" t="inlineStr">
        <is>
          <t>-</t>
        </is>
      </c>
    </row>
    <row r="23" ht="18.75" customHeight="1" s="38">
      <c r="A23" s="44" t="inlineStr">
        <is>
          <t>Talud interior horizontal/vertical</t>
        </is>
      </c>
      <c r="B23" s="45" t="inlineStr">
        <is>
          <t>m_i</t>
        </is>
      </c>
      <c r="C23" s="54" t="n">
        <v>2</v>
      </c>
      <c r="D23" s="47" t="inlineStr">
        <is>
          <t>H:V</t>
        </is>
      </c>
    </row>
    <row r="24" ht="18.75" customHeight="1" s="38">
      <c r="A24" s="44" t="inlineStr">
        <is>
          <t>Talud exterior horizontal/vertical</t>
        </is>
      </c>
      <c r="B24" s="45" t="inlineStr">
        <is>
          <t>m_e</t>
        </is>
      </c>
      <c r="C24" s="54" t="n">
        <v>1.5</v>
      </c>
      <c r="D24" s="47" t="inlineStr">
        <is>
          <t>H:V</t>
        </is>
      </c>
    </row>
    <row r="25" ht="18.75" customHeight="1" s="38">
      <c r="A25" s="44" t="inlineStr">
        <is>
          <t>Factor adoptado sobre la carga superficial máxima</t>
        </is>
      </c>
      <c r="B25" s="45" t="inlineStr">
        <is>
          <t>fλ</t>
        </is>
      </c>
      <c r="C25" s="48" t="n">
        <v>1</v>
      </c>
      <c r="D25" s="47" t="inlineStr">
        <is>
          <t>fracción</t>
        </is>
      </c>
    </row>
    <row r="26" ht="18.75" customHeight="1" s="38">
      <c r="A26" s="44" t="inlineStr">
        <is>
          <t>Resguardo / borde libre adoptado</t>
        </is>
      </c>
      <c r="B26" s="45" t="inlineStr">
        <is>
          <t>BL</t>
        </is>
      </c>
      <c r="C26" s="48" t="n">
        <v>0.5</v>
      </c>
      <c r="D26" s="47" t="inlineStr">
        <is>
          <t>m</t>
        </is>
      </c>
    </row>
    <row r="27" ht="18.75" customHeight="1" s="38">
      <c r="A27" s="44" t="inlineStr">
        <is>
          <t>Ancho de coronación adoptado</t>
        </is>
      </c>
      <c r="B27" s="45" t="inlineStr">
        <is>
          <t>Bc</t>
        </is>
      </c>
      <c r="C27" s="48" t="n">
        <v>3</v>
      </c>
      <c r="D27" s="47" t="inlineStr">
        <is>
          <t>m</t>
        </is>
      </c>
    </row>
    <row r="28" ht="18.75" customHeight="1" s="38">
      <c r="A28" s="44" t="inlineStr">
        <is>
          <t>SST de diseño en el efluente para DBO particulada</t>
        </is>
      </c>
      <c r="B28" s="45" t="inlineStr">
        <is>
          <t>SSTe</t>
        </is>
      </c>
      <c r="C28" s="46" t="n">
        <v>80</v>
      </c>
      <c r="D28" s="47" t="inlineStr">
        <is>
          <t>mg/L</t>
        </is>
      </c>
    </row>
    <row r="29" ht="18.75" customHeight="1" s="38">
      <c r="A29" s="44" t="inlineStr">
        <is>
          <t>Coeficiente de temperatura para remoción de DBO5</t>
        </is>
      </c>
      <c r="B29" s="45" t="inlineStr">
        <is>
          <t>θDBO</t>
        </is>
      </c>
      <c r="C29" s="55" t="n">
        <v>1.035</v>
      </c>
      <c r="D29" s="47" t="inlineStr">
        <is>
          <t>-</t>
        </is>
      </c>
    </row>
    <row r="30" ht="18.75" customHeight="1" s="38">
      <c r="A30" s="44" t="inlineStr">
        <is>
          <t>Reducción de Kb20 por ser Laguna Facultativa</t>
        </is>
      </c>
      <c r="B30" s="45" t="inlineStr">
        <is>
          <t>fKb</t>
        </is>
      </c>
      <c r="C30" s="52" t="n">
        <v>0.1</v>
      </c>
      <c r="D30" s="47" t="inlineStr">
        <is>
          <t>fracción</t>
        </is>
      </c>
    </row>
    <row r="31" ht="18.75" customHeight="1" s="38">
      <c r="A31" s="44" t="inlineStr">
        <is>
          <t>Coeficiente de temperatura para coliformes</t>
        </is>
      </c>
      <c r="B31" s="45" t="inlineStr">
        <is>
          <t>θCF</t>
        </is>
      </c>
      <c r="C31" s="54" t="n">
        <v>1.07</v>
      </c>
      <c r="D31" s="47" t="inlineStr">
        <is>
          <t>-</t>
        </is>
      </c>
    </row>
    <row r="32" ht="18.75" customHeight="1" s="38">
      <c r="A32" s="44" t="inlineStr">
        <is>
          <t>Tasa de acumulación de lodos adoptada</t>
        </is>
      </c>
      <c r="B32" s="45" t="inlineStr">
        <is>
          <t>Tac</t>
        </is>
      </c>
      <c r="C32" s="56" t="n">
        <v>0.06</v>
      </c>
      <c r="D32" s="47" t="inlineStr">
        <is>
          <t>m³/hab/año</t>
        </is>
      </c>
    </row>
    <row r="33" ht="18.75" customHeight="1" s="38">
      <c r="A33" s="44" t="inlineStr">
        <is>
          <t>Periodo de limpieza adoptado</t>
        </is>
      </c>
      <c r="B33" s="45" t="inlineStr">
        <is>
          <t>PL</t>
        </is>
      </c>
      <c r="C33" s="46" t="n">
        <v>15</v>
      </c>
      <c r="D33" s="47" t="inlineStr">
        <is>
          <t>años</t>
        </is>
      </c>
    </row>
    <row r="34" ht="18.75" customHeight="1" s="38">
      <c r="A34" s="44" t="inlineStr">
        <is>
          <t>Distancia de la laguna al centro poblado más próximo</t>
        </is>
      </c>
      <c r="B34" s="45" t="inlineStr">
        <is>
          <t>Dcp</t>
        </is>
      </c>
      <c r="C34" s="46" t="n">
        <v>750</v>
      </c>
      <c r="D34" s="47" t="inlineStr">
        <is>
          <t>m</t>
        </is>
      </c>
    </row>
    <row r="35" ht="18.75" customHeight="1" s="38">
      <c r="A35" s="44" t="inlineStr">
        <is>
          <t>Pretratamiento (desbaste + desarenado) previsto</t>
        </is>
      </c>
      <c r="B35" s="45" t="inlineStr">
        <is>
          <t>Prep</t>
        </is>
      </c>
      <c r="C35" s="49" t="inlineStr">
        <is>
          <t>Sí</t>
        </is>
      </c>
      <c r="D35" s="47" t="inlineStr">
        <is>
          <t>-</t>
        </is>
      </c>
    </row>
    <row r="36" ht="18.75" customHeight="1" s="38">
      <c r="A36" s="44" t="inlineStr">
        <is>
          <t>Medición de caudal después del pretratamiento</t>
        </is>
      </c>
      <c r="B36" s="45" t="inlineStr">
        <is>
          <t>Qmed</t>
        </is>
      </c>
      <c r="C36" s="49" t="inlineStr">
        <is>
          <t>Sí</t>
        </is>
      </c>
      <c r="D36" s="47" t="inlineStr">
        <is>
          <t>-</t>
        </is>
      </c>
    </row>
    <row r="37" ht="18.75" customHeight="1" s="38">
      <c r="A37" s="44" t="inlineStr">
        <is>
          <t>Operación hidráulica predominante</t>
        </is>
      </c>
      <c r="B37" s="45" t="inlineStr">
        <is>
          <t>Hid</t>
        </is>
      </c>
      <c r="C37" s="49" t="inlineStr">
        <is>
          <t>Gravedad</t>
        </is>
      </c>
      <c r="D37" s="47" t="inlineStr">
        <is>
          <t>-</t>
        </is>
      </c>
    </row>
    <row r="38" ht="18" customHeight="1" s="38">
      <c r="A38" s="41" t="n"/>
      <c r="B38" s="41" t="n"/>
      <c r="C38" s="41" t="n"/>
      <c r="D38" s="41" t="n"/>
    </row>
    <row r="39" ht="42" customHeight="1" s="38">
      <c r="A39" s="57" t="inlineStr">
        <is>
          <t>Fuente principal: Guía técnica para la selección y diseño de líneas de tratamiento de aguas residuales - Módulo 2, Cap. 7.3 Lagunas de Estabilización (MMAyA/VAPSB; CEDEX). https://ceh.cedex.es/web/documentos/FCAS/2_Guia_PTAR_Bolivia.pdf</t>
        </is>
      </c>
    </row>
    <row r="40" ht="18" customHeight="1" s="38">
      <c r="A40" s="41" t="n"/>
      <c r="B40" s="41" t="n"/>
      <c r="C40" s="41" t="n"/>
      <c r="D40" s="41" t="n"/>
    </row>
    <row r="41" ht="18" customHeight="1" s="38">
      <c r="A41" s="41" t="n"/>
      <c r="B41" s="41" t="n"/>
      <c r="C41" s="41" t="n"/>
      <c r="D41" s="41" t="n"/>
    </row>
    <row r="42" ht="14.25" customHeight="1" s="38">
      <c r="A42" s="41" t="n"/>
      <c r="B42" s="41" t="n"/>
      <c r="C42" s="41" t="n"/>
      <c r="D42" s="41" t="n"/>
    </row>
    <row r="43" ht="42" customHeight="1" s="38">
      <c r="A43" s="41" t="n"/>
      <c r="B43" s="41" t="n"/>
      <c r="C43" s="41" t="n"/>
      <c r="D43" s="41" t="n"/>
    </row>
  </sheetData>
  <mergeCells count="4">
    <mergeCell ref="A1:D1"/>
    <mergeCell ref="A2:D2"/>
    <mergeCell ref="A19:D19"/>
    <mergeCell ref="A39:D39"/>
  </mergeCells>
  <dataValidations count="5">
    <dataValidation sqref="C8" showDropDown="0" showInputMessage="0" showErrorMessage="0" allowBlank="0" type="list" errorStyle="stop" operator="between">
      <formula1>"Altiplano,Valles,Llanos"</formula1>
      <formula2>0</formula2>
    </dataValidation>
    <dataValidation sqref="C11" showDropDown="0" showInputMessage="0" showErrorMessage="0" allowBlank="0" type="list" errorStyle="stop" operator="between">
      <formula1>"Primaria,Secundaria"</formula1>
      <formula2>0</formula2>
    </dataValidation>
    <dataValidation sqref="C35" showDropDown="0" showInputMessage="0" showErrorMessage="0" allowBlank="0" type="list" errorStyle="stop" operator="between">
      <formula1>"Sí,No"</formula1>
      <formula2>0</formula2>
    </dataValidation>
    <dataValidation sqref="C36" showDropDown="0" showInputMessage="0" showErrorMessage="0" allowBlank="0" type="list" errorStyle="stop" operator="between">
      <formula1>"Sí,No"</formula1>
      <formula2>0</formula2>
    </dataValidation>
    <dataValidation sqref="C37" showDropDown="0" showInputMessage="0" showErrorMessage="0" allowBlank="0" type="list" errorStyle="stop" operator="between">
      <formula1>"Gravedad,Bombeo"</formula1>
      <formula2>0</formula2>
    </dataValidation>
  </dataValidations>
  <printOptions horizontalCentered="0" verticalCentered="0" headings="0" gridLines="0" gridLinesSet="1"/>
  <pageMargins left="0.3" right="0.3" top="0.5" bottom="0.5" header="0.511811023622047" footer="0.511811023622047"/>
  <pageSetup orientation="portrait" paperSize="9" scale="100" fitToHeight="0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D10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25" activeCellId="0" sqref="A25"/>
    </sheetView>
  </sheetViews>
  <sheetFormatPr baseColWidth="8" defaultColWidth="8.66796875" defaultRowHeight="14.25" customHeight="1" zeroHeight="0" outlineLevelRow="0"/>
  <cols>
    <col width="61" customWidth="1" style="37" min="1" max="1"/>
    <col width="18" customWidth="1" style="37" min="2" max="3"/>
    <col width="44" customWidth="1" style="37" min="4" max="4"/>
  </cols>
  <sheetData>
    <row r="1" ht="21.75" customHeight="1" s="38">
      <c r="A1" s="39" t="inlineStr">
        <is>
          <t>LAGUNA FACULTATIVA - MEMORIA DE CÁLCULO</t>
        </is>
      </c>
    </row>
    <row r="2" ht="14.25" customHeight="1" s="38">
      <c r="A2" s="41" t="n"/>
      <c r="B2" s="41" t="n"/>
      <c r="C2" s="41" t="n"/>
      <c r="D2" s="41" t="n"/>
    </row>
    <row r="3" ht="15" customHeight="1" s="38">
      <c r="A3" s="42" t="inlineStr">
        <is>
          <t>Descripción</t>
        </is>
      </c>
      <c r="B3" s="43" t="inlineStr">
        <is>
          <t>Valor</t>
        </is>
      </c>
      <c r="C3" s="43" t="inlineStr">
        <is>
          <t>Unidad</t>
        </is>
      </c>
      <c r="D3" s="43" t="inlineStr">
        <is>
          <t>Criterio / observación</t>
        </is>
      </c>
    </row>
    <row r="4" ht="15" customHeight="1" s="38">
      <c r="A4" s="53" t="inlineStr">
        <is>
          <t>1. CAUDALES Y AFLUENTE A LA LAGUNA</t>
        </is>
      </c>
    </row>
    <row r="5" ht="15" customHeight="1" s="38">
      <c r="A5" s="44" t="inlineStr">
        <is>
          <t>Caudal medio diario (Qm)</t>
        </is>
      </c>
      <c r="B5" s="58">
        <f>'Datos de Entrada'!C5*'Datos de Entrada'!C6*'Datos de Entrada'!C7/1000</f>
        <v/>
      </c>
      <c r="C5" s="47" t="inlineStr">
        <is>
          <t>m³/d</t>
        </is>
      </c>
      <c r="D5" s="57" t="n"/>
    </row>
    <row r="6" ht="15" customHeight="1" s="38">
      <c r="A6" s="44" t="inlineStr">
        <is>
          <t>Caudal medio (Qm)</t>
        </is>
      </c>
      <c r="B6" s="59">
        <f>B5/86.4</f>
        <v/>
      </c>
      <c r="C6" s="47" t="inlineStr">
        <is>
          <t>L/s</t>
        </is>
      </c>
      <c r="D6" s="57" t="n"/>
    </row>
    <row r="7" ht="15" customHeight="1" s="38">
      <c r="A7" s="44" t="inlineStr">
        <is>
          <t>Factor punta de Harmon (M)</t>
        </is>
      </c>
      <c r="B7" s="58">
        <f>1+14/(4+SQRT('Datos de Entrada'!C5/1000))</f>
        <v/>
      </c>
      <c r="C7" s="47" t="inlineStr">
        <is>
          <t>-</t>
        </is>
      </c>
      <c r="D7" s="57" t="inlineStr">
        <is>
          <t>Diagnóstico hidráulico</t>
        </is>
      </c>
    </row>
    <row r="8" ht="15" customHeight="1" s="38">
      <c r="A8" s="44" t="inlineStr">
        <is>
          <t>Caudal máximo horario</t>
        </is>
      </c>
      <c r="B8" s="59">
        <f>B6*B7</f>
        <v/>
      </c>
      <c r="C8" s="47" t="inlineStr">
        <is>
          <t>L/s</t>
        </is>
      </c>
      <c r="D8" s="57" t="inlineStr">
        <is>
          <t>Para revisión de estructuras de entrada/salida</t>
        </is>
      </c>
    </row>
    <row r="9" ht="15" customHeight="1" s="38">
      <c r="A9" s="44" t="inlineStr">
        <is>
          <t>DBO5 afluente a Laguna Facultativa</t>
        </is>
      </c>
      <c r="B9" s="58">
        <f>'Datos de Entrada'!C12*(1-'Datos de Entrada'!C16)</f>
        <v/>
      </c>
      <c r="C9" s="47" t="inlineStr">
        <is>
          <t>mg/L</t>
        </is>
      </c>
      <c r="D9" s="57" t="inlineStr">
        <is>
          <t>En Laguna Primaria la remoción previa debe ser 0</t>
        </is>
      </c>
    </row>
    <row r="10" ht="18" customHeight="1" s="38">
      <c r="A10" s="44" t="inlineStr">
        <is>
          <t>SST afluente a Laguna Facultativa</t>
        </is>
      </c>
      <c r="B10" s="58">
        <f>'Datos de Entrada'!C13*(1-'Datos de Entrada'!C17)</f>
        <v/>
      </c>
      <c r="C10" s="47" t="inlineStr">
        <is>
          <t>mg/L</t>
        </is>
      </c>
      <c r="D10" s="57" t="n"/>
    </row>
    <row r="11" ht="15" customHeight="1" s="38">
      <c r="A11" s="44" t="inlineStr">
        <is>
          <t>Carga de DBO5 afluente</t>
        </is>
      </c>
      <c r="B11" s="58">
        <f>B5*B9/1000</f>
        <v/>
      </c>
      <c r="C11" s="47" t="inlineStr">
        <is>
          <t>kg DBO5/d</t>
        </is>
      </c>
      <c r="D11" s="57" t="n"/>
    </row>
    <row r="12" ht="15" customHeight="1" s="38">
      <c r="A12" s="41" t="n"/>
      <c r="B12" s="41" t="n"/>
      <c r="C12" s="41" t="n"/>
      <c r="D12" s="41" t="n"/>
    </row>
    <row r="13" ht="15" customHeight="1" s="38">
      <c r="A13" s="53" t="inlineStr">
        <is>
          <t>2. CARGA SUPERFICIAL Y SUPERFICIE INICIAL POR MATERIA ORGÁNICA</t>
        </is>
      </c>
    </row>
    <row r="14" ht="15" customHeight="1" s="38">
      <c r="A14" s="44" t="inlineStr">
        <is>
          <t>Carga superficial máxima según temperatura</t>
        </is>
      </c>
      <c r="B14" s="58">
        <f>IF('Datos de Entrada'!C9&lt;=8,80,IF('Datos de Entrada'!C9&gt;=25,350,350*(1.107-0.002*'Datos de Entrada'!C9)^('Datos de Entrada'!C9-25)))</f>
        <v/>
      </c>
      <c r="C14" s="47" t="inlineStr">
        <is>
          <t>kg DBO5/ha·d</t>
        </is>
      </c>
      <c r="D14" s="57" t="inlineStr">
        <is>
          <t>Mara (1997), Tabla 7.21; máximo 350</t>
        </is>
      </c>
    </row>
    <row r="15" ht="15" customHeight="1" s="38">
      <c r="A15" s="44" t="inlineStr">
        <is>
          <t>Carga superficial adoptada</t>
        </is>
      </c>
      <c r="B15" s="58">
        <f>B14*'Datos de Entrada'!C25</f>
        <v/>
      </c>
      <c r="C15" s="47" t="inlineStr">
        <is>
          <t>kg DBO5/ha·d</t>
        </is>
      </c>
      <c r="D15" s="57" t="inlineStr">
        <is>
          <t>Debe ser ≤ carga máxima</t>
        </is>
      </c>
    </row>
    <row r="16" ht="15" customHeight="1" s="38">
      <c r="A16" s="44" t="inlineStr">
        <is>
          <t>Superficie total requerida por carga orgánica</t>
        </is>
      </c>
      <c r="B16" s="59">
        <f>B11/B15</f>
        <v/>
      </c>
      <c r="C16" s="47" t="inlineStr">
        <is>
          <t>ha</t>
        </is>
      </c>
      <c r="D16" s="57" t="inlineStr">
        <is>
          <t>S = Q·Ca / λs</t>
        </is>
      </c>
    </row>
    <row r="17" ht="15" customHeight="1" s="38">
      <c r="A17" s="44" t="inlineStr">
        <is>
          <t>Superficie total requerida por carga orgánica</t>
        </is>
      </c>
      <c r="B17" s="58">
        <f>B16*10000</f>
        <v/>
      </c>
      <c r="C17" s="47" t="inlineStr">
        <is>
          <t>m²</t>
        </is>
      </c>
      <c r="D17" s="57" t="n"/>
    </row>
    <row r="18" ht="15" customHeight="1" s="38">
      <c r="A18" s="44" t="inlineStr">
        <is>
          <t>Superficie por laguna en paralelo</t>
        </is>
      </c>
      <c r="B18" s="58">
        <f>B17/'Datos de Entrada'!C20</f>
        <v/>
      </c>
      <c r="C18" s="47" t="inlineStr">
        <is>
          <t>m²</t>
        </is>
      </c>
      <c r="D18" s="57" t="n"/>
    </row>
    <row r="19" ht="15" customHeight="1" s="38">
      <c r="A19" s="44" t="inlineStr">
        <is>
          <t>Ancho de lámina de agua inicial</t>
        </is>
      </c>
      <c r="B19" s="58">
        <f>SQRT(B18/'Datos de Entrada'!C22)</f>
        <v/>
      </c>
      <c r="C19" s="47" t="inlineStr">
        <is>
          <t>m</t>
        </is>
      </c>
      <c r="D19" s="57" t="inlineStr">
        <is>
          <t>L/B adoptado</t>
        </is>
      </c>
    </row>
    <row r="20" ht="15" customHeight="1" s="38">
      <c r="A20" s="44" t="inlineStr">
        <is>
          <t>Largo de lámina de agua inicial</t>
        </is>
      </c>
      <c r="B20" s="58">
        <f>B19*'Datos de Entrada'!C22</f>
        <v/>
      </c>
      <c r="C20" s="47" t="inlineStr">
        <is>
          <t>m</t>
        </is>
      </c>
      <c r="D20" s="57" t="n"/>
    </row>
    <row r="21" ht="18" customHeight="1" s="38">
      <c r="A21" s="44" t="inlineStr">
        <is>
          <t>Ancho de fondo inicial</t>
        </is>
      </c>
      <c r="B21" s="58">
        <f>MAX(0,B19-2*'Datos de Entrada'!C23*'Datos de Entrada'!C21)</f>
        <v/>
      </c>
      <c r="C21" s="47" t="inlineStr">
        <is>
          <t>m</t>
        </is>
      </c>
      <c r="D21" s="57" t="inlineStr">
        <is>
          <t>Talud interior</t>
        </is>
      </c>
    </row>
    <row r="22" ht="15" customHeight="1" s="38">
      <c r="A22" s="44" t="inlineStr">
        <is>
          <t>Largo de fondo inicial</t>
        </is>
      </c>
      <c r="B22" s="58">
        <f>MAX(0,B20-2*'Datos de Entrada'!C23*'Datos de Entrada'!C21)</f>
        <v/>
      </c>
      <c r="C22" s="47" t="inlineStr">
        <is>
          <t>m</t>
        </is>
      </c>
      <c r="D22" s="57" t="inlineStr">
        <is>
          <t>Talud interior</t>
        </is>
      </c>
    </row>
    <row r="23" ht="15" customHeight="1" s="38">
      <c r="A23" s="44" t="inlineStr">
        <is>
          <t>Área a media profundidad inicial</t>
        </is>
      </c>
      <c r="B23" s="58">
        <f>(B19-'Datos de Entrada'!C23*'Datos de Entrada'!C21)*(B20-'Datos de Entrada'!C23*'Datos de Entrada'!C21)</f>
        <v/>
      </c>
      <c r="C23" s="47" t="inlineStr">
        <is>
          <t>m²</t>
        </is>
      </c>
      <c r="D23" s="57" t="inlineStr">
        <is>
          <t>Para fórmula prismoidal</t>
        </is>
      </c>
    </row>
    <row r="24" ht="15" customHeight="1" s="38">
      <c r="A24" s="44" t="inlineStr">
        <is>
          <t>Volumen útil por laguna inicial</t>
        </is>
      </c>
      <c r="B24" s="58">
        <f>'Datos de Entrada'!C21/6*(B18+B21*B22+4*B23)</f>
        <v/>
      </c>
      <c r="C24" s="47" t="inlineStr">
        <is>
          <t>m³</t>
        </is>
      </c>
      <c r="D24" s="57" t="inlineStr">
        <is>
          <t>Prismoide con taludes interiores</t>
        </is>
      </c>
    </row>
    <row r="25" ht="15" customHeight="1" s="38">
      <c r="A25" s="44" t="inlineStr">
        <is>
          <t>Volumen útil total inicial</t>
        </is>
      </c>
      <c r="B25" s="58">
        <f>B24*'Datos de Entrada'!C20</f>
        <v/>
      </c>
      <c r="C25" s="47" t="inlineStr">
        <is>
          <t>m³</t>
        </is>
      </c>
      <c r="D25" s="57" t="n"/>
    </row>
    <row r="26" ht="15" customHeight="1" s="38">
      <c r="A26" s="44" t="inlineStr">
        <is>
          <t>TRH inicial</t>
        </is>
      </c>
      <c r="B26" s="58">
        <f>B25/B5</f>
        <v/>
      </c>
      <c r="C26" s="47" t="inlineStr">
        <is>
          <t>d</t>
        </is>
      </c>
      <c r="D26" s="57" t="inlineStr">
        <is>
          <t>Se compara con TRH mínimo por zona</t>
        </is>
      </c>
    </row>
    <row r="27" ht="18" customHeight="1" s="38">
      <c r="A27" s="41" t="n"/>
      <c r="B27" s="41" t="n"/>
      <c r="C27" s="41" t="n"/>
      <c r="D27" s="41" t="n"/>
    </row>
    <row r="28" ht="15" customHeight="1" s="38">
      <c r="A28" s="53" t="inlineStr">
        <is>
          <t>3. VERIFICACIÓN DEL TRH Y DIMENSIONES DEFINITIVAS</t>
        </is>
      </c>
    </row>
    <row r="29" ht="15" customHeight="1" s="38">
      <c r="A29" s="44" t="inlineStr">
        <is>
          <t>TRH mínimo recomendado por zona ecológica</t>
        </is>
      </c>
      <c r="B29" s="58">
        <f>IF('Datos de Entrada'!C8="Altiplano",20,IF('Datos de Entrada'!C8="Valles",15,10))</f>
        <v/>
      </c>
      <c r="C29" s="47" t="inlineStr">
        <is>
          <t>d</t>
        </is>
      </c>
      <c r="D29" s="57" t="inlineStr">
        <is>
          <t>Altiplano ≥20; Valles ≥15; Llanos ≥10</t>
        </is>
      </c>
    </row>
    <row r="30" ht="15" customHeight="1" s="38">
      <c r="A30" s="44" t="inlineStr">
        <is>
          <t>Volumen mínimo total por TRH</t>
        </is>
      </c>
      <c r="B30" s="58">
        <f>B5*B29</f>
        <v/>
      </c>
      <c r="C30" s="47" t="inlineStr">
        <is>
          <t>m³</t>
        </is>
      </c>
      <c r="D30" s="57" t="inlineStr">
        <is>
          <t>V = Q·TRHmín</t>
        </is>
      </c>
    </row>
    <row r="31" ht="15" customHeight="1" s="38">
      <c r="A31" s="44" t="inlineStr">
        <is>
          <t>Volumen total de diseño adoptado</t>
        </is>
      </c>
      <c r="B31" s="58">
        <f>MAX(B25,B30)</f>
        <v/>
      </c>
      <c r="C31" s="47" t="inlineStr">
        <is>
          <t>m³</t>
        </is>
      </c>
      <c r="D31" s="57" t="inlineStr">
        <is>
          <t>Gobierna carga superficial o TRH</t>
        </is>
      </c>
    </row>
    <row r="32" ht="15" customHeight="1" s="38">
      <c r="A32" s="44" t="inlineStr">
        <is>
          <t>Volumen por laguna de diseño</t>
        </is>
      </c>
      <c r="B32" s="58">
        <f>B31/'Datos de Entrada'!C20</f>
        <v/>
      </c>
      <c r="C32" s="47" t="inlineStr">
        <is>
          <t>m³</t>
        </is>
      </c>
      <c r="D32" s="57" t="n"/>
    </row>
    <row r="33" ht="18" customHeight="1" s="38">
      <c r="A33" s="44" t="inlineStr">
        <is>
          <t>Discriminante geométrico</t>
        </is>
      </c>
      <c r="B33" s="59">
        <f>('Datos de Entrada'!C23*'Datos de Entrada'!C21*('Datos de Entrada'!C22+1))^2-4*'Datos de Entrada'!C22*((4/3)*('Datos de Entrada'!C23^2)*('Datos de Entrada'!C21^2)-B32/'Datos de Entrada'!C21)</f>
        <v/>
      </c>
      <c r="C33" s="47" t="inlineStr">
        <is>
          <t>-</t>
        </is>
      </c>
      <c r="D33" s="57" t="inlineStr">
        <is>
          <t>Resolución de la geometría prismoidal</t>
        </is>
      </c>
    </row>
    <row r="34" ht="18" customHeight="1" s="38">
      <c r="A34" s="44" t="inlineStr">
        <is>
          <t>Ancho definitivo de lámina de agua</t>
        </is>
      </c>
      <c r="B34" s="58">
        <f>('Datos de Entrada'!C23*'Datos de Entrada'!C21*('Datos de Entrada'!C22+1)+SQRT(B33))/(2*'Datos de Entrada'!C22)</f>
        <v/>
      </c>
      <c r="C34" s="47" t="inlineStr">
        <is>
          <t>m</t>
        </is>
      </c>
      <c r="D34" s="57" t="n"/>
    </row>
    <row r="35" ht="18" customHeight="1" s="38">
      <c r="A35" s="44" t="inlineStr">
        <is>
          <t>Largo definitivo de lámina de agua</t>
        </is>
      </c>
      <c r="B35" s="58">
        <f>B34*'Datos de Entrada'!C22</f>
        <v/>
      </c>
      <c r="C35" s="47" t="inlineStr">
        <is>
          <t>m</t>
        </is>
      </c>
      <c r="D35" s="57" t="n"/>
    </row>
    <row r="36" ht="18" customHeight="1" s="38">
      <c r="A36" s="44" t="inlineStr">
        <is>
          <t>Superficie definitiva por laguna</t>
        </is>
      </c>
      <c r="B36" s="58">
        <f>B34*B35</f>
        <v/>
      </c>
      <c r="C36" s="47" t="inlineStr">
        <is>
          <t>m²</t>
        </is>
      </c>
      <c r="D36" s="57" t="n"/>
    </row>
    <row r="37" ht="18" customHeight="1" s="38">
      <c r="A37" s="44" t="inlineStr">
        <is>
          <t>Superficie definitiva total</t>
        </is>
      </c>
      <c r="B37" s="58">
        <f>B36*'Datos de Entrada'!C20</f>
        <v/>
      </c>
      <c r="C37" s="47" t="inlineStr">
        <is>
          <t>m²</t>
        </is>
      </c>
      <c r="D37" s="57" t="n"/>
    </row>
    <row r="38" ht="18" customHeight="1" s="38">
      <c r="A38" s="44" t="inlineStr">
        <is>
          <t>Superficie definitiva total</t>
        </is>
      </c>
      <c r="B38" s="59">
        <f>B37/10000</f>
        <v/>
      </c>
      <c r="C38" s="47" t="inlineStr">
        <is>
          <t>ha</t>
        </is>
      </c>
      <c r="D38" s="57" t="n"/>
    </row>
    <row r="39" ht="18" customHeight="1" s="38">
      <c r="A39" s="44" t="inlineStr">
        <is>
          <t>Ancho definitivo de fondo</t>
        </is>
      </c>
      <c r="B39" s="58">
        <f>MAX(0,B34-2*'Datos de Entrada'!C23*'Datos de Entrada'!C21)</f>
        <v/>
      </c>
      <c r="C39" s="47" t="inlineStr">
        <is>
          <t>m</t>
        </is>
      </c>
      <c r="D39" s="57" t="n"/>
    </row>
    <row r="40" ht="18" customHeight="1" s="38">
      <c r="A40" s="44" t="inlineStr">
        <is>
          <t>Largo definitivo de fondo</t>
        </is>
      </c>
      <c r="B40" s="58">
        <f>MAX(0,B35-2*'Datos de Entrada'!C23*'Datos de Entrada'!C21)</f>
        <v/>
      </c>
      <c r="C40" s="47" t="inlineStr">
        <is>
          <t>m</t>
        </is>
      </c>
      <c r="D40" s="57" t="n"/>
    </row>
    <row r="41" ht="18" customHeight="1" s="38">
      <c r="A41" s="44" t="inlineStr">
        <is>
          <t>Área a media profundidad definitiva</t>
        </is>
      </c>
      <c r="B41" s="58">
        <f>(B34-'Datos de Entrada'!C23*'Datos de Entrada'!C21)*(B35-'Datos de Entrada'!C23*'Datos de Entrada'!C21)</f>
        <v/>
      </c>
      <c r="C41" s="47" t="inlineStr">
        <is>
          <t>m²</t>
        </is>
      </c>
      <c r="D41" s="57" t="n"/>
    </row>
    <row r="42" ht="18" customHeight="1" s="38">
      <c r="A42" s="44" t="inlineStr">
        <is>
          <t>Volumen útil por laguna verificado</t>
        </is>
      </c>
      <c r="B42" s="58">
        <f>'Datos de Entrada'!C21/6*(B36+B39*B40+4*B41)</f>
        <v/>
      </c>
      <c r="C42" s="47" t="inlineStr">
        <is>
          <t>m³</t>
        </is>
      </c>
      <c r="D42" s="57" t="n"/>
    </row>
    <row r="43" ht="18" customHeight="1" s="38">
      <c r="A43" s="44" t="inlineStr">
        <is>
          <t>Volumen útil total verificado</t>
        </is>
      </c>
      <c r="B43" s="58">
        <f>B42*'Datos de Entrada'!C20</f>
        <v/>
      </c>
      <c r="C43" s="47" t="inlineStr">
        <is>
          <t>m³</t>
        </is>
      </c>
      <c r="D43" s="57" t="n"/>
    </row>
    <row r="44" ht="18" customHeight="1" s="38">
      <c r="A44" s="44" t="inlineStr">
        <is>
          <t>TRH final</t>
        </is>
      </c>
      <c r="B44" s="58">
        <f>B43/B5</f>
        <v/>
      </c>
      <c r="C44" s="47" t="inlineStr">
        <is>
          <t>d</t>
        </is>
      </c>
      <c r="D44" s="57" t="inlineStr">
        <is>
          <t>Debe cumplir TRH mínimo</t>
        </is>
      </c>
    </row>
    <row r="45" ht="18" customHeight="1" s="38">
      <c r="A45" s="44" t="inlineStr">
        <is>
          <t>Carga superficial real final</t>
        </is>
      </c>
      <c r="B45" s="58">
        <f>B11/(B37/10000)</f>
        <v/>
      </c>
      <c r="C45" s="47" t="inlineStr">
        <is>
          <t>kg DBO5/ha·d</t>
        </is>
      </c>
      <c r="D45" s="57" t="inlineStr">
        <is>
          <t>Debe ser ≤ carga adoptada</t>
        </is>
      </c>
    </row>
    <row r="46" ht="18" customHeight="1" s="38">
      <c r="A46" s="44" t="inlineStr">
        <is>
          <t>Resguardo recomendado</t>
        </is>
      </c>
      <c r="B46" s="58">
        <f>IF(B36&lt;10000,0.5,1)</f>
        <v/>
      </c>
      <c r="C46" s="47" t="inlineStr">
        <is>
          <t>m</t>
        </is>
      </c>
      <c r="D46" s="57" t="inlineStr">
        <is>
          <t>Por laguna: 0,5 m si &lt;1 ha; 1,0 m si ≥1 ha</t>
        </is>
      </c>
    </row>
    <row r="47" ht="18" customHeight="1" s="38">
      <c r="A47" s="44" t="inlineStr">
        <is>
          <t>Largo exterior aproximado a nivel de coronación</t>
        </is>
      </c>
      <c r="B47" s="58">
        <f>B35+2*'Datos de Entrada'!C23*'Datos de Entrada'!C26+2*'Datos de Entrada'!C27</f>
        <v/>
      </c>
      <c r="C47" s="47" t="inlineStr">
        <is>
          <t>m</t>
        </is>
      </c>
      <c r="D47" s="57" t="inlineStr">
        <is>
          <t>No incluye talud exterior hasta terreno natural</t>
        </is>
      </c>
    </row>
    <row r="48" ht="18" customHeight="1" s="38">
      <c r="A48" s="44" t="inlineStr">
        <is>
          <t>Ancho exterior aproximado a nivel de coronación</t>
        </is>
      </c>
      <c r="B48" s="58">
        <f>B34+2*'Datos de Entrada'!C23*'Datos de Entrada'!C26+2*'Datos de Entrada'!C27</f>
        <v/>
      </c>
      <c r="C48" s="47" t="inlineStr">
        <is>
          <t>m</t>
        </is>
      </c>
      <c r="D48" s="57" t="n"/>
    </row>
    <row r="49" ht="18" customHeight="1" s="38">
      <c r="A49" s="44" t="inlineStr">
        <is>
          <t>Área exterior aproximada de coronación por unidad</t>
        </is>
      </c>
      <c r="B49" s="58">
        <f>B47*B48</f>
        <v/>
      </c>
      <c r="C49" s="47" t="inlineStr">
        <is>
          <t>m²</t>
        </is>
      </c>
      <c r="D49" s="57" t="inlineStr">
        <is>
          <t>Referencia de implantación preliminar</t>
        </is>
      </c>
    </row>
    <row r="50" ht="18" customHeight="1" s="38">
      <c r="A50" s="41" t="n"/>
      <c r="B50" s="41" t="n"/>
      <c r="C50" s="41" t="n"/>
      <c r="D50" s="41" t="n"/>
    </row>
    <row r="51" ht="31.5" customHeight="1" s="38">
      <c r="A51" s="53" t="inlineStr">
        <is>
          <t>4. MODELACIÓN DE DBO5 - FLUJO DISPERSO</t>
        </is>
      </c>
    </row>
    <row r="52" ht="18" customHeight="1" s="38">
      <c r="A52" s="44" t="inlineStr">
        <is>
          <t>Número de dispersión (d)</t>
        </is>
      </c>
      <c r="B52" s="60">
        <f>1/'Datos de Entrada'!C22</f>
        <v/>
      </c>
      <c r="C52" s="47" t="inlineStr">
        <is>
          <t>-</t>
        </is>
      </c>
      <c r="D52" s="57" t="inlineStr">
        <is>
          <t>von Sperling (1999): d = 1/(L/B)</t>
        </is>
      </c>
    </row>
    <row r="53" ht="18" customHeight="1" s="38">
      <c r="A53" s="44" t="inlineStr">
        <is>
          <t>K20 para DBO5</t>
        </is>
      </c>
      <c r="B53" s="60">
        <f>MAX(0,0.132*LOG10(B45)-0.146)</f>
        <v/>
      </c>
      <c r="C53" s="47" t="inlineStr">
        <is>
          <t>d⁻¹</t>
        </is>
      </c>
      <c r="D53" s="57" t="inlineStr">
        <is>
          <t>Arceivala (1981): K20 = 0,132·log(λs) - 0,146</t>
        </is>
      </c>
    </row>
    <row r="54" ht="18" customHeight="1" s="38">
      <c r="A54" s="44" t="inlineStr">
        <is>
          <t>K a temperatura del agua</t>
        </is>
      </c>
      <c r="B54" s="60">
        <f>B53*'Datos de Entrada'!C29^('Datos de Entrada'!C10-20)</f>
        <v/>
      </c>
      <c r="C54" s="47" t="inlineStr">
        <is>
          <t>d⁻¹</t>
        </is>
      </c>
      <c r="D54" s="57" t="inlineStr">
        <is>
          <t>KT = K20·1,035^(T-20)</t>
        </is>
      </c>
    </row>
    <row r="55" ht="18" customHeight="1" s="38">
      <c r="A55" s="44" t="inlineStr">
        <is>
          <t>Coeficiente a para DBO5</t>
        </is>
      </c>
      <c r="B55" s="58">
        <f>SQRT(1+4*B54*B44*B52)</f>
        <v/>
      </c>
      <c r="C55" s="47" t="inlineStr">
        <is>
          <t>-</t>
        </is>
      </c>
      <c r="D55" s="57" t="n"/>
    </row>
    <row r="56" ht="18" customHeight="1" s="38">
      <c r="A56" s="44" t="inlineStr">
        <is>
          <t>Factor Ce soluble / Ca</t>
        </is>
      </c>
      <c r="B56" s="60">
        <f>4*B55*EXP(1/(2*B52))/(((1+B55)^2)*EXP(B55/(2*B52))-((1-B55)^2)*EXP(-B55/(2*B52)))</f>
        <v/>
      </c>
      <c r="C56" s="47" t="inlineStr">
        <is>
          <t>-</t>
        </is>
      </c>
      <c r="D56" s="57" t="inlineStr">
        <is>
          <t>Modelo de flujo disperso</t>
        </is>
      </c>
    </row>
    <row r="57" ht="18" customHeight="1" s="38">
      <c r="A57" s="44" t="inlineStr">
        <is>
          <t>DBO5 soluble esperada en efluente</t>
        </is>
      </c>
      <c r="B57" s="58">
        <f>B9*B56</f>
        <v/>
      </c>
      <c r="C57" s="47" t="inlineStr">
        <is>
          <t>mg/L</t>
        </is>
      </c>
      <c r="D57" s="57" t="n"/>
    </row>
    <row r="58" ht="18" customHeight="1" s="38">
      <c r="A58" s="44" t="inlineStr">
        <is>
          <t>DBO5 particulada asociada a SST del efluente</t>
        </is>
      </c>
      <c r="B58" s="58">
        <f>'Datos de Entrada'!C28*0.35</f>
        <v/>
      </c>
      <c r="C58" s="47" t="inlineStr">
        <is>
          <t>mg/L</t>
        </is>
      </c>
      <c r="D58" s="57" t="inlineStr">
        <is>
          <t>Mara (1995): 0,35 mg DBO5/mg SST</t>
        </is>
      </c>
    </row>
    <row r="59" ht="18" customHeight="1" s="38">
      <c r="A59" s="44" t="inlineStr">
        <is>
          <t>DBO5 total esperada en efluente</t>
        </is>
      </c>
      <c r="B59" s="58">
        <f>B57+B58</f>
        <v/>
      </c>
      <c r="C59" s="47" t="inlineStr">
        <is>
          <t>mg/L</t>
        </is>
      </c>
      <c r="D59" s="57" t="inlineStr">
        <is>
          <t>Ces + DBO5 particulada</t>
        </is>
      </c>
    </row>
    <row r="60" ht="18" customHeight="1" s="38">
      <c r="A60" s="44" t="inlineStr">
        <is>
          <t>Remoción estimada de DBO5 en Laguna Facultativa</t>
        </is>
      </c>
      <c r="B60" s="61">
        <f>MAX(0,1-B59/B9)</f>
        <v/>
      </c>
      <c r="C60" s="47" t="inlineStr">
        <is>
          <t>fracción</t>
        </is>
      </c>
      <c r="D60" s="57" t="inlineStr">
        <is>
          <t>Resultado del modelo</t>
        </is>
      </c>
    </row>
    <row r="61" ht="18" customHeight="1" s="38">
      <c r="A61" s="41" t="n"/>
      <c r="B61" s="41" t="n"/>
      <c r="C61" s="41" t="n"/>
      <c r="D61" s="41" t="n"/>
    </row>
    <row r="62" ht="18" customHeight="1" s="38">
      <c r="A62" s="53" t="inlineStr">
        <is>
          <t>5. MODELACIÓN DE COLIFORMES - FLUJO DISPERSO</t>
        </is>
      </c>
    </row>
    <row r="63" ht="18" customHeight="1" s="38">
      <c r="A63" s="44" t="inlineStr">
        <is>
          <t>Kb20 teórico por profundidad</t>
        </is>
      </c>
      <c r="B63" s="60">
        <f>0.549*'Datos de Entrada'!C21^-1.456</f>
        <v/>
      </c>
      <c r="C63" s="47" t="inlineStr">
        <is>
          <t>d⁻¹</t>
        </is>
      </c>
      <c r="D63" s="57" t="inlineStr">
        <is>
          <t>von Sperling (2016)</t>
        </is>
      </c>
    </row>
    <row r="64" ht="18" customHeight="1" s="38">
      <c r="A64" s="44" t="inlineStr">
        <is>
          <t>Kb20 ajustado para Laguna Facultativa</t>
        </is>
      </c>
      <c r="B64" s="60">
        <f>B63*(1-'Datos de Entrada'!C30)</f>
        <v/>
      </c>
      <c r="C64" s="47" t="inlineStr">
        <is>
          <t>d⁻¹</t>
        </is>
      </c>
      <c r="D64" s="57" t="inlineStr">
        <is>
          <t>Reducción adoptada 5-15%; editable</t>
        </is>
      </c>
    </row>
    <row r="65" ht="18" customHeight="1" s="38">
      <c r="A65" s="44" t="inlineStr">
        <is>
          <t>Kb a temperatura del agua</t>
        </is>
      </c>
      <c r="B65" s="60">
        <f>B64*'Datos de Entrada'!C31^('Datos de Entrada'!C10-20)</f>
        <v/>
      </c>
      <c r="C65" s="47" t="inlineStr">
        <is>
          <t>d⁻¹</t>
        </is>
      </c>
      <c r="D65" s="57" t="n"/>
    </row>
    <row r="66" ht="30" customHeight="1" s="38">
      <c r="A66" s="44" t="inlineStr">
        <is>
          <t>Coeficiente a para coliformes</t>
        </is>
      </c>
      <c r="B66" s="58">
        <f>SQRT(1+4*B65*B44*B52)</f>
        <v/>
      </c>
      <c r="C66" s="47" t="inlineStr">
        <is>
          <t>-</t>
        </is>
      </c>
      <c r="D66" s="57" t="n"/>
    </row>
    <row r="67" ht="30" customHeight="1" s="38">
      <c r="A67" s="44" t="inlineStr">
        <is>
          <t>Factor Ne / Na</t>
        </is>
      </c>
      <c r="B67" s="60">
        <f>4*B66*EXP(1/(2*B52))/(((1+B66)^2)*EXP(B66/(2*B52))-((1-B66)^2)*EXP(-B66/(2*B52)))</f>
        <v/>
      </c>
      <c r="C67" s="47" t="inlineStr">
        <is>
          <t>-</t>
        </is>
      </c>
      <c r="D67" s="57" t="inlineStr">
        <is>
          <t>Modelo de flujo disperso</t>
        </is>
      </c>
    </row>
    <row r="68" ht="30" customHeight="1" s="38">
      <c r="A68" s="44" t="inlineStr">
        <is>
          <t>Coliformes esperados en efluente</t>
        </is>
      </c>
      <c r="B68" s="62">
        <f>'Datos de Entrada'!C15*B67</f>
        <v/>
      </c>
      <c r="C68" s="47" t="inlineStr">
        <is>
          <t>NMP/100 mL</t>
        </is>
      </c>
      <c r="D68" s="57" t="n"/>
    </row>
    <row r="69" ht="18" customHeight="1" s="38">
      <c r="A69" s="44" t="inlineStr">
        <is>
          <t>Remoción porcentual de coliformes</t>
        </is>
      </c>
      <c r="B69" s="61">
        <f>MAX(0,1-B67)</f>
        <v/>
      </c>
      <c r="C69" s="47" t="inlineStr">
        <is>
          <t>fracción</t>
        </is>
      </c>
      <c r="D69" s="57" t="n"/>
    </row>
    <row r="70" ht="18" customHeight="1" s="38">
      <c r="A70" s="44" t="inlineStr">
        <is>
          <t>Remoción logarítmica de coliformes</t>
        </is>
      </c>
      <c r="B70" s="58">
        <f>IF(B68&gt;0,LOG10('Datos de Entrada'!C15/B68),0)</f>
        <v/>
      </c>
      <c r="C70" s="47" t="inlineStr">
        <is>
          <t>u. log</t>
        </is>
      </c>
      <c r="D70" s="57" t="n"/>
    </row>
    <row r="71" ht="18" customHeight="1" s="38">
      <c r="A71" s="41" t="n"/>
      <c r="B71" s="41" t="n"/>
      <c r="C71" s="41" t="n"/>
      <c r="D71" s="41" t="n"/>
    </row>
    <row r="72" ht="18" customHeight="1" s="38">
      <c r="A72" s="53" t="inlineStr">
        <is>
          <t>6. PRODUCCIÓN DE LODOS Y OPERACIÓN</t>
        </is>
      </c>
    </row>
    <row r="73" ht="18" customHeight="1" s="38">
      <c r="A73" s="44" t="inlineStr">
        <is>
          <t>Acumulación de lodos anual total</t>
        </is>
      </c>
      <c r="B73" s="58">
        <f>'Datos de Entrada'!C5*'Datos de Entrada'!C32</f>
        <v/>
      </c>
      <c r="C73" s="47" t="inlineStr">
        <is>
          <t>m³/año</t>
        </is>
      </c>
      <c r="D73" s="57" t="inlineStr">
        <is>
          <t>Rango guía según tipo de laguna</t>
        </is>
      </c>
    </row>
    <row r="74" ht="18" customHeight="1" s="38">
      <c r="A74" s="44" t="inlineStr">
        <is>
          <t>Volumen de lodos al periodo de limpieza</t>
        </is>
      </c>
      <c r="B74" s="58">
        <f>B73*'Datos de Entrada'!C33</f>
        <v/>
      </c>
      <c r="C74" s="47" t="inlineStr">
        <is>
          <t>m³</t>
        </is>
      </c>
      <c r="D74" s="57" t="inlineStr">
        <is>
          <t>Referencia para planificación de extracción</t>
        </is>
      </c>
    </row>
    <row r="75" ht="18" customHeight="1" s="38">
      <c r="A75" s="44" t="inlineStr">
        <is>
          <t>Volumen de lodos por laguna</t>
        </is>
      </c>
      <c r="B75" s="58">
        <f>B74/'Datos de Entrada'!C20</f>
        <v/>
      </c>
      <c r="C75" s="47" t="inlineStr">
        <is>
          <t>m³</t>
        </is>
      </c>
      <c r="D75" s="57" t="n"/>
    </row>
    <row r="76" ht="18" customHeight="1" s="38">
      <c r="A76" s="44" t="inlineStr">
        <is>
          <t>Lodos acumulados / volumen útil total</t>
        </is>
      </c>
      <c r="B76" s="61">
        <f>B74/B43</f>
        <v/>
      </c>
      <c r="C76" s="47" t="inlineStr">
        <is>
          <t>fracción</t>
        </is>
      </c>
      <c r="D76" s="57" t="inlineStr">
        <is>
          <t>Indicador operativo; no se usa como criterio normativo</t>
        </is>
      </c>
    </row>
    <row r="77" ht="33.75" customHeight="1" s="38">
      <c r="A77" s="44" t="inlineStr">
        <is>
          <t>Demanda energética de proceso</t>
        </is>
      </c>
      <c r="B77" s="63">
        <f>IF('Datos de Entrada'!C37="Gravedad","NULA / MUY BAJA","DEPENDE DEL BOMBEO")</f>
        <v/>
      </c>
      <c r="C77" s="47" t="inlineStr">
        <is>
          <t>-</t>
        </is>
      </c>
      <c r="D77" s="57" t="inlineStr">
        <is>
          <t>La laguna no requiere aireación mecánica</t>
        </is>
      </c>
    </row>
    <row r="78" ht="18" customHeight="1" s="38">
      <c r="A78" s="41" t="n"/>
      <c r="B78" s="41" t="n"/>
      <c r="C78" s="41" t="n"/>
      <c r="D78" s="41" t="n"/>
    </row>
    <row r="79" ht="42" customHeight="1" s="38">
      <c r="A79" s="53" t="inlineStr">
        <is>
          <t>7. VERIFICACIONES DE DISEÑO</t>
        </is>
      </c>
    </row>
    <row r="80" ht="18.75" customHeight="1" s="38">
      <c r="A80" s="44" t="inlineStr">
        <is>
          <t>Carga superficial adoptada ≤ máxima</t>
        </is>
      </c>
      <c r="B80" s="64">
        <f>IF(B15&lt;=B14,"CUMPLE","REVISAR")</f>
        <v/>
      </c>
      <c r="D80" s="57" t="inlineStr">
        <is>
          <t>Criterio principal de diseño</t>
        </is>
      </c>
    </row>
    <row r="81" ht="18.75" customHeight="1" s="38">
      <c r="A81" s="44" t="inlineStr">
        <is>
          <t>Carga superficial real ≤ adoptada</t>
        </is>
      </c>
      <c r="B81" s="64">
        <f>IF(B45&lt;=B15,"CUMPLE","REVISAR")</f>
        <v/>
      </c>
      <c r="D81" s="57" t="n"/>
    </row>
    <row r="82" ht="18.75" customHeight="1" s="38">
      <c r="A82" s="44" t="inlineStr">
        <is>
          <t>Profundidad útil 1,5-2,0 m</t>
        </is>
      </c>
      <c r="B82" s="64">
        <f>IF(AND('Datos de Entrada'!C21&gt;=1.5,'Datos de Entrada'!C21&lt;=2),"CUMPLE","REVISAR")</f>
        <v/>
      </c>
      <c r="D82" s="57" t="n"/>
    </row>
    <row r="83" ht="18.75" customHeight="1" s="38">
      <c r="A83" s="44" t="inlineStr">
        <is>
          <t>TRH final ≥ mínimo por zona ecológica</t>
        </is>
      </c>
      <c r="B83" s="64">
        <f>IF(B44&gt;=B29,"CUMPLE","REVISAR")</f>
        <v/>
      </c>
      <c r="D83" s="57" t="n"/>
    </row>
    <row r="84" ht="31.5" customHeight="1" s="38">
      <c r="A84" s="44" t="inlineStr">
        <is>
          <t>Relación L/B adecuada</t>
        </is>
      </c>
      <c r="B84" s="64">
        <f>IF('Datos de Entrada'!C11="Primaria",IF(AND('Datos de Entrada'!C22&gt;=2,'Datos de Entrada'!C22&lt;=4),"CUMPLE","REVISAR"),IF('Datos de Entrada'!C22&gt;=1,"CUMPLE - FLEXIBLE","REVISAR"))</f>
        <v/>
      </c>
      <c r="D84" s="57" t="inlineStr">
        <is>
          <t>Primarias: 2-4; Secundarias: mayor flexibilidad</t>
        </is>
      </c>
    </row>
    <row r="85" ht="18.75" customHeight="1" s="38">
      <c r="A85" s="44" t="inlineStr">
        <is>
          <t>Talud interior H/V entre 2 y 3</t>
        </is>
      </c>
      <c r="B85" s="64">
        <f>IF(AND('Datos de Entrada'!C23&gt;=2,'Datos de Entrada'!C23&lt;=3),"CUMPLE","REVISAR")</f>
        <v/>
      </c>
      <c r="D85" s="57" t="n"/>
    </row>
    <row r="86" ht="18.75" customHeight="1" s="38">
      <c r="A86" s="44" t="inlineStr">
        <is>
          <t>Talud exterior H/V entre 1,5 y 2</t>
        </is>
      </c>
      <c r="B86" s="64">
        <f>IF(AND('Datos de Entrada'!C24&gt;=1.5,'Datos de Entrada'!C24&lt;=2),"CUMPLE","REVISAR")</f>
        <v/>
      </c>
      <c r="D86" s="57" t="n"/>
    </row>
    <row r="87" ht="18.75" customHeight="1" s="38">
      <c r="A87" s="44" t="inlineStr">
        <is>
          <t>Resguardo adoptado ≥ recomendado</t>
        </is>
      </c>
      <c r="B87" s="64">
        <f>IF('Datos de Entrada'!C26&gt;=B46,"CUMPLE","REVISAR")</f>
        <v/>
      </c>
      <c r="D87" s="57" t="n"/>
    </row>
    <row r="88" ht="18.75" customHeight="1" s="38">
      <c r="A88" s="44" t="inlineStr">
        <is>
          <t>Ancho de coronación ≥ 1,5 m</t>
        </is>
      </c>
      <c r="B88" s="64">
        <f>IF('Datos de Entrada'!C27&gt;=1.5,"CUMPLE","REVISAR")</f>
        <v/>
      </c>
      <c r="D88" s="57" t="inlineStr">
        <is>
          <t>Habitual: 2-4 m</t>
        </is>
      </c>
    </row>
    <row r="89" ht="18.75" customHeight="1" s="38">
      <c r="A89" s="44" t="inlineStr">
        <is>
          <t>Periodo de limpieza ≥ 15 años</t>
        </is>
      </c>
      <c r="B89" s="64">
        <f>IF('Datos de Entrada'!C33&gt;=15,"CUMPLE","REVISAR")</f>
        <v/>
      </c>
      <c r="D89" s="57" t="n"/>
    </row>
    <row r="90" ht="31.5" customHeight="1" s="38">
      <c r="A90" s="44" t="inlineStr">
        <is>
          <t>Tasa de acumulación de lodos compatible con tipo</t>
        </is>
      </c>
      <c r="B90" s="64">
        <f>IF('Datos de Entrada'!C11="Primaria",IF(AND('Datos de Entrada'!C32&gt;=0.03,'Datos de Entrada'!C32&lt;=0.09),"CUMPLE","REVISAR"),IF(AND('Datos de Entrada'!C32&gt;=0.03,'Datos de Entrada'!C32&lt;=0.05),"CUMPLE","REVISAR"))</f>
        <v/>
      </c>
      <c r="D90" s="57" t="inlineStr">
        <is>
          <t>Tabla 7.19</t>
        </is>
      </c>
    </row>
    <row r="91" ht="18.75" customHeight="1" s="38">
      <c r="A91" s="44" t="inlineStr">
        <is>
          <t>Distancia a centro poblado 500-1.000 m o mayor</t>
        </is>
      </c>
      <c r="B91" s="64">
        <f>IF('Datos de Entrada'!C34&gt;=500,"CUMPLE","REVISAR")</f>
        <v/>
      </c>
      <c r="D91" s="57" t="inlineStr">
        <is>
          <t>Recomendación ambiental</t>
        </is>
      </c>
    </row>
    <row r="92" ht="18.75" customHeight="1" s="38">
      <c r="A92" s="44" t="inlineStr">
        <is>
          <t>Pretratamiento mínimo previsto</t>
        </is>
      </c>
      <c r="B92" s="64">
        <f>IF('Datos de Entrada'!C35="Sí","CUMPLE","REVISAR")</f>
        <v/>
      </c>
      <c r="D92" s="57" t="n"/>
    </row>
    <row r="93" ht="18.75" customHeight="1" s="38">
      <c r="A93" s="44" t="inlineStr">
        <is>
          <t>Medición de caudal prevista</t>
        </is>
      </c>
      <c r="B93" s="64">
        <f>IF('Datos de Entrada'!C36="Sí","CUMPLE","REVISAR")</f>
        <v/>
      </c>
      <c r="D93" s="57" t="n"/>
    </row>
    <row r="94" ht="31.5" customHeight="1" s="38">
      <c r="A94" s="44" t="inlineStr">
        <is>
          <t>DBO5 efluente ≤ 80 mg/L</t>
        </is>
      </c>
      <c r="B94" s="64">
        <f>IF(B59&lt;=80,"CUMPLE","REQUIERE AFINO")</f>
        <v/>
      </c>
      <c r="D94" s="57" t="inlineStr">
        <is>
          <t>Límite de referencia RMCH para masa no clasificada</t>
        </is>
      </c>
    </row>
    <row r="95" ht="31.5" customHeight="1" s="38">
      <c r="A95" s="44" t="inlineStr">
        <is>
          <t>SST de diseño efluente ≤ 60 mg/L</t>
        </is>
      </c>
      <c r="B95" s="64">
        <f>IF('Datos de Entrada'!C28&lt;=60,"CUMPLE","REQUIERE AFINO")</f>
        <v/>
      </c>
      <c r="D95" s="57" t="inlineStr">
        <is>
          <t>El efluente de lagunas puede contener microalgas</t>
        </is>
      </c>
    </row>
    <row r="96" ht="31.5" customHeight="1" s="38">
      <c r="A96" s="44" t="inlineStr">
        <is>
          <t>Coliformes efluente ≤ 1.000 NMP/100 mL</t>
        </is>
      </c>
      <c r="B96" s="64">
        <f>IF(B68&lt;=1000,"CUMPLE","REQUIERE DESINFECCIÓN / MADURACIÓN")</f>
        <v/>
      </c>
      <c r="D96" s="57" t="inlineStr">
        <is>
          <t>Verificar objetivo de vertido/reúso</t>
        </is>
      </c>
    </row>
    <row r="97" ht="18.75" customHeight="1" s="38"/>
    <row r="98" ht="31.5" customHeight="1" s="38">
      <c r="A98" s="65" t="inlineStr">
        <is>
          <t>Resultado hidráulico-geométrico</t>
        </is>
      </c>
      <c r="B98" s="64">
        <f>IF(AND(B80="CUMPLE",B81="CUMPLE",B82="CUMPLE",B83="CUMPLE",OR(B84="CUMPLE",B84="CUMPLE - FLEXIBLE"),B85="CUMPLE",B86="CUMPLE",B87="CUMPLE",B88="CUMPLE",B89="CUMPLE",B90="CUMPLE",B91="CUMPLE",B92="CUMPLE",B93="CUMPLE"),"APTO SEGÚN CRITERIOS BASE","REVISAR CRITERIOS")</f>
        <v/>
      </c>
    </row>
    <row r="99" ht="31.5" customHeight="1" s="38">
      <c r="A99" s="65" t="inlineStr">
        <is>
          <t>Resultado de calidad de efluente</t>
        </is>
      </c>
      <c r="B99" s="64">
        <f>IF(AND(B94="CUMPLE",B95="CUMPLE",B96="CUMPLE"),"CUMPLE OBJETIVOS DE REFERENCIA","CONSIDERAR POSTRATAMIENTO")</f>
        <v/>
      </c>
    </row>
    <row r="100" ht="18.75" customHeight="1" s="38"/>
    <row r="101" ht="42" customHeight="1" s="38">
      <c r="A101" s="57" t="inlineStr">
        <is>
          <t>Fuente principal: Guía técnica para la selección y diseño de líneas de tratamiento de aguas residuales - Módulo 2, Cap. 7.3 Lagunas de Estabilización (MMAyA/VAPSB; CEDEX). https://ceh.cedex.es/web/documentos/FCAS/2_Guia_PTAR_Bolivia.pdf</t>
        </is>
      </c>
    </row>
  </sheetData>
  <mergeCells count="9">
    <mergeCell ref="A1:D1"/>
    <mergeCell ref="A79:D79"/>
    <mergeCell ref="A4:D4"/>
    <mergeCell ref="A62:D62"/>
    <mergeCell ref="A101:D101"/>
    <mergeCell ref="A72:D72"/>
    <mergeCell ref="A51:D51"/>
    <mergeCell ref="A28:D28"/>
    <mergeCell ref="A13:D13"/>
  </mergeCells>
  <conditionalFormatting sqref="B80">
    <cfRule type="expression" rank="0" priority="2" equalAverage="0" aboveAverage="0" dxfId="0" text="" percent="0" bottom="0">
      <formula>OR(B80="CUMPLE",ISNUMBER(SEARCH("CUMPLE -",B80)))</formula>
    </cfRule>
    <cfRule type="expression" rank="0" priority="3" equalAverage="0" aboveAverage="0" dxfId="1" text="" percent="0" bottom="0">
      <formula>OR(B80="REVISAR",ISNUMBER(SEARCH("REQUIERE",B80)))</formula>
    </cfRule>
  </conditionalFormatting>
  <conditionalFormatting sqref="B81">
    <cfRule type="expression" rank="0" priority="4" equalAverage="0" aboveAverage="0" dxfId="0" text="" percent="0" bottom="0">
      <formula>OR(B81="CUMPLE",ISNUMBER(SEARCH("CUMPLE -",B81)))</formula>
    </cfRule>
    <cfRule type="expression" rank="0" priority="5" equalAverage="0" aboveAverage="0" dxfId="1" text="" percent="0" bottom="0">
      <formula>OR(B81="REVISAR",ISNUMBER(SEARCH("REQUIERE",B81)))</formula>
    </cfRule>
  </conditionalFormatting>
  <conditionalFormatting sqref="B82">
    <cfRule type="expression" rank="0" priority="6" equalAverage="0" aboveAverage="0" dxfId="0" text="" percent="0" bottom="0">
      <formula>OR(B82="CUMPLE",ISNUMBER(SEARCH("CUMPLE -",B82)))</formula>
    </cfRule>
    <cfRule type="expression" rank="0" priority="7" equalAverage="0" aboveAverage="0" dxfId="1" text="" percent="0" bottom="0">
      <formula>OR(B82="REVISAR",ISNUMBER(SEARCH("REQUIERE",B82)))</formula>
    </cfRule>
  </conditionalFormatting>
  <conditionalFormatting sqref="B83">
    <cfRule type="expression" rank="0" priority="8" equalAverage="0" aboveAverage="0" dxfId="0" text="" percent="0" bottom="0">
      <formula>OR(B83="CUMPLE",ISNUMBER(SEARCH("CUMPLE -",B83)))</formula>
    </cfRule>
    <cfRule type="expression" rank="0" priority="9" equalAverage="0" aboveAverage="0" dxfId="1" text="" percent="0" bottom="0">
      <formula>OR(B83="REVISAR",ISNUMBER(SEARCH("REQUIERE",B83)))</formula>
    </cfRule>
  </conditionalFormatting>
  <conditionalFormatting sqref="B84">
    <cfRule type="expression" rank="0" priority="10" equalAverage="0" aboveAverage="0" dxfId="0" text="" percent="0" bottom="0">
      <formula>OR(B84="CUMPLE",ISNUMBER(SEARCH("CUMPLE -",B84)))</formula>
    </cfRule>
    <cfRule type="expression" rank="0" priority="11" equalAverage="0" aboveAverage="0" dxfId="1" text="" percent="0" bottom="0">
      <formula>OR(B84="REVISAR",ISNUMBER(SEARCH("REQUIERE",B84)))</formula>
    </cfRule>
  </conditionalFormatting>
  <conditionalFormatting sqref="B85">
    <cfRule type="expression" rank="0" priority="12" equalAverage="0" aboveAverage="0" dxfId="0" text="" percent="0" bottom="0">
      <formula>OR(B85="CUMPLE",ISNUMBER(SEARCH("CUMPLE -",B85)))</formula>
    </cfRule>
    <cfRule type="expression" rank="0" priority="13" equalAverage="0" aboveAverage="0" dxfId="1" text="" percent="0" bottom="0">
      <formula>OR(B85="REVISAR",ISNUMBER(SEARCH("REQUIERE",B85)))</formula>
    </cfRule>
  </conditionalFormatting>
  <conditionalFormatting sqref="B86">
    <cfRule type="expression" rank="0" priority="14" equalAverage="0" aboveAverage="0" dxfId="0" text="" percent="0" bottom="0">
      <formula>OR(B86="CUMPLE",ISNUMBER(SEARCH("CUMPLE -",B86)))</formula>
    </cfRule>
    <cfRule type="expression" rank="0" priority="15" equalAverage="0" aboveAverage="0" dxfId="1" text="" percent="0" bottom="0">
      <formula>OR(B86="REVISAR",ISNUMBER(SEARCH("REQUIERE",B86)))</formula>
    </cfRule>
  </conditionalFormatting>
  <conditionalFormatting sqref="B87">
    <cfRule type="expression" rank="0" priority="16" equalAverage="0" aboveAverage="0" dxfId="0" text="" percent="0" bottom="0">
      <formula>OR(B87="CUMPLE",ISNUMBER(SEARCH("CUMPLE -",B87)))</formula>
    </cfRule>
    <cfRule type="expression" rank="0" priority="17" equalAverage="0" aboveAverage="0" dxfId="1" text="" percent="0" bottom="0">
      <formula>OR(B87="REVISAR",ISNUMBER(SEARCH("REQUIERE",B87)))</formula>
    </cfRule>
  </conditionalFormatting>
  <conditionalFormatting sqref="B88">
    <cfRule type="expression" rank="0" priority="18" equalAverage="0" aboveAverage="0" dxfId="0" text="" percent="0" bottom="0">
      <formula>OR(B88="CUMPLE",ISNUMBER(SEARCH("CUMPLE -",B88)))</formula>
    </cfRule>
    <cfRule type="expression" rank="0" priority="19" equalAverage="0" aboveAverage="0" dxfId="1" text="" percent="0" bottom="0">
      <formula>OR(B88="REVISAR",ISNUMBER(SEARCH("REQUIERE",B88)))</formula>
    </cfRule>
  </conditionalFormatting>
  <conditionalFormatting sqref="B89">
    <cfRule type="expression" rank="0" priority="20" equalAverage="0" aboveAverage="0" dxfId="0" text="" percent="0" bottom="0">
      <formula>OR(B89="CUMPLE",ISNUMBER(SEARCH("CUMPLE -",B89)))</formula>
    </cfRule>
    <cfRule type="expression" rank="0" priority="21" equalAverage="0" aboveAverage="0" dxfId="1" text="" percent="0" bottom="0">
      <formula>OR(B89="REVISAR",ISNUMBER(SEARCH("REQUIERE",B89)))</formula>
    </cfRule>
  </conditionalFormatting>
  <conditionalFormatting sqref="B90">
    <cfRule type="expression" rank="0" priority="22" equalAverage="0" aboveAverage="0" dxfId="0" text="" percent="0" bottom="0">
      <formula>OR(B90="CUMPLE",ISNUMBER(SEARCH("CUMPLE -",B90)))</formula>
    </cfRule>
    <cfRule type="expression" rank="0" priority="23" equalAverage="0" aboveAverage="0" dxfId="1" text="" percent="0" bottom="0">
      <formula>OR(B90="REVISAR",ISNUMBER(SEARCH("REQUIERE",B90)))</formula>
    </cfRule>
  </conditionalFormatting>
  <conditionalFormatting sqref="B91">
    <cfRule type="expression" rank="0" priority="24" equalAverage="0" aboveAverage="0" dxfId="0" text="" percent="0" bottom="0">
      <formula>OR(B91="CUMPLE",ISNUMBER(SEARCH("CUMPLE -",B91)))</formula>
    </cfRule>
    <cfRule type="expression" rank="0" priority="25" equalAverage="0" aboveAverage="0" dxfId="1" text="" percent="0" bottom="0">
      <formula>OR(B91="REVISAR",ISNUMBER(SEARCH("REQUIERE",B91)))</formula>
    </cfRule>
  </conditionalFormatting>
  <conditionalFormatting sqref="B92">
    <cfRule type="expression" rank="0" priority="26" equalAverage="0" aboveAverage="0" dxfId="0" text="" percent="0" bottom="0">
      <formula>OR(B92="CUMPLE",ISNUMBER(SEARCH("CUMPLE -",B92)))</formula>
    </cfRule>
    <cfRule type="expression" rank="0" priority="27" equalAverage="0" aboveAverage="0" dxfId="1" text="" percent="0" bottom="0">
      <formula>OR(B92="REVISAR",ISNUMBER(SEARCH("REQUIERE",B92)))</formula>
    </cfRule>
  </conditionalFormatting>
  <conditionalFormatting sqref="B93">
    <cfRule type="expression" rank="0" priority="28" equalAverage="0" aboveAverage="0" dxfId="0" text="" percent="0" bottom="0">
      <formula>OR(B93="CUMPLE",ISNUMBER(SEARCH("CUMPLE -",B93)))</formula>
    </cfRule>
    <cfRule type="expression" rank="0" priority="29" equalAverage="0" aboveAverage="0" dxfId="1" text="" percent="0" bottom="0">
      <formula>OR(B93="REVISAR",ISNUMBER(SEARCH("REQUIERE",B93)))</formula>
    </cfRule>
  </conditionalFormatting>
  <conditionalFormatting sqref="B94">
    <cfRule type="expression" rank="0" priority="30" equalAverage="0" aboveAverage="0" dxfId="0" text="" percent="0" bottom="0">
      <formula>OR(B94="CUMPLE",ISNUMBER(SEARCH("CUMPLE -",B94)))</formula>
    </cfRule>
    <cfRule type="expression" rank="0" priority="31" equalAverage="0" aboveAverage="0" dxfId="1" text="" percent="0" bottom="0">
      <formula>OR(B94="REVISAR",ISNUMBER(SEARCH("REQUIERE",B94)))</formula>
    </cfRule>
  </conditionalFormatting>
  <conditionalFormatting sqref="B95">
    <cfRule type="expression" rank="0" priority="32" equalAverage="0" aboveAverage="0" dxfId="0" text="" percent="0" bottom="0">
      <formula>OR(B95="CUMPLE",ISNUMBER(SEARCH("CUMPLE -",B95)))</formula>
    </cfRule>
    <cfRule type="expression" rank="0" priority="33" equalAverage="0" aboveAverage="0" dxfId="1" text="" percent="0" bottom="0">
      <formula>OR(B95="REVISAR",ISNUMBER(SEARCH("REQUIERE",B95)))</formula>
    </cfRule>
  </conditionalFormatting>
  <conditionalFormatting sqref="B96">
    <cfRule type="expression" rank="0" priority="34" equalAverage="0" aboveAverage="0" dxfId="0" text="" percent="0" bottom="0">
      <formula>OR(B96="CUMPLE",ISNUMBER(SEARCH("CUMPLE -",B96)))</formula>
    </cfRule>
    <cfRule type="expression" rank="0" priority="35" equalAverage="0" aboveAverage="0" dxfId="1" text="" percent="0" bottom="0">
      <formula>OR(B96="REVISAR",ISNUMBER(SEARCH("REQUIERE",B96)))</formula>
    </cfRule>
  </conditionalFormatting>
  <conditionalFormatting sqref="B98">
    <cfRule type="expression" rank="0" priority="36" equalAverage="0" aboveAverage="0" dxfId="0" text="" percent="0" bottom="0">
      <formula>ISNUMBER(SEARCH("APTO",B98))</formula>
    </cfRule>
    <cfRule type="expression" rank="0" priority="37" equalAverage="0" aboveAverage="0" dxfId="1" text="" percent="0" bottom="0">
      <formula>ISNUMBER(SEARCH("REVISAR",B98))</formula>
    </cfRule>
  </conditionalFormatting>
  <conditionalFormatting sqref="B99">
    <cfRule type="expression" rank="0" priority="38" equalAverage="0" aboveAverage="0" dxfId="0" text="" percent="0" bottom="0">
      <formula>ISNUMBER(SEARCH("CUMPLE OBJETIVOS",B99))</formula>
    </cfRule>
    <cfRule type="expression" rank="0" priority="39" equalAverage="0" aboveAverage="0" dxfId="1" text="" percent="0" bottom="0">
      <formula>ISNUMBER(SEARCH("POSTRATAMIENTO",B99))</formula>
    </cfRule>
  </conditionalFormatting>
  <printOptions horizontalCentered="0" verticalCentered="0" headings="0" gridLines="0" gridLinesSet="1"/>
  <pageMargins left="0.3" right="0.3" top="0.5" bottom="0.5" header="0.511811023622047" footer="0.511811023622047"/>
  <pageSetup orientation="portrait" paperSize="9" scale="100" fitToHeight="0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1"/>
  </sheetPr>
  <dimension ref="A1:D2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6796875" defaultRowHeight="14.25" customHeight="1" zeroHeight="0" outlineLevelRow="0"/>
  <cols>
    <col width="50" customWidth="1" style="37" min="1" max="1"/>
    <col width="19" customWidth="1" style="37" min="2" max="3"/>
    <col width="34" customWidth="1" style="37" min="4" max="4"/>
  </cols>
  <sheetData>
    <row r="1" ht="21.75" customHeight="1" s="38">
      <c r="A1" s="39" t="inlineStr">
        <is>
          <t>LAGUNA FACULTATIVA - RESUMEN DE DISEÑO</t>
        </is>
      </c>
    </row>
    <row r="2" ht="14.25" customHeight="1" s="38">
      <c r="A2" s="41" t="n"/>
      <c r="B2" s="41" t="n"/>
      <c r="C2" s="41" t="n"/>
      <c r="D2" s="41" t="n"/>
    </row>
    <row r="3" ht="18.75" customHeight="1" s="38">
      <c r="A3" s="42" t="inlineStr">
        <is>
          <t>Elemento</t>
        </is>
      </c>
      <c r="B3" s="43" t="inlineStr">
        <is>
          <t>Valor</t>
        </is>
      </c>
      <c r="C3" s="43" t="inlineStr">
        <is>
          <t>Unidad</t>
        </is>
      </c>
      <c r="D3" s="43" t="inlineStr">
        <is>
          <t>Estado / nota</t>
        </is>
      </c>
    </row>
    <row r="4" ht="18.75" customHeight="1" s="38">
      <c r="A4" s="44" t="inlineStr">
        <is>
          <t>Tipo de laguna</t>
        </is>
      </c>
      <c r="B4" s="66">
        <f>'Datos de Entrada'!C11</f>
        <v/>
      </c>
      <c r="C4" s="47" t="inlineStr">
        <is>
          <t>-</t>
        </is>
      </c>
      <c r="D4" s="67" t="n"/>
    </row>
    <row r="5" ht="18.75" customHeight="1" s="38">
      <c r="A5" s="44" t="inlineStr">
        <is>
          <t>Zona ecológica</t>
        </is>
      </c>
      <c r="B5" s="66">
        <f>'Datos de Entrada'!C8</f>
        <v/>
      </c>
      <c r="C5" s="47" t="inlineStr">
        <is>
          <t>-</t>
        </is>
      </c>
      <c r="D5" s="67" t="n"/>
    </row>
    <row r="6" ht="18.75" customHeight="1" s="38">
      <c r="A6" s="44" t="inlineStr">
        <is>
          <t>Caudal medio diario</t>
        </is>
      </c>
      <c r="B6" s="68">
        <f>Calculos!B5</f>
        <v/>
      </c>
      <c r="C6" s="47" t="inlineStr">
        <is>
          <t>m³/d</t>
        </is>
      </c>
      <c r="D6" s="67" t="n"/>
    </row>
    <row r="7" ht="18.75" customHeight="1" s="38">
      <c r="A7" s="44" t="inlineStr">
        <is>
          <t>DBO5 afluente</t>
        </is>
      </c>
      <c r="B7" s="68">
        <f>Calculos!B9</f>
        <v/>
      </c>
      <c r="C7" s="47" t="inlineStr">
        <is>
          <t>mg/L</t>
        </is>
      </c>
      <c r="D7" s="67" t="n"/>
    </row>
    <row r="8" ht="18.75" customHeight="1" s="38">
      <c r="A8" s="44" t="inlineStr">
        <is>
          <t>Carga superficial máxima</t>
        </is>
      </c>
      <c r="B8" s="68">
        <f>Calculos!B14</f>
        <v/>
      </c>
      <c r="C8" s="47" t="inlineStr">
        <is>
          <t>kg DBO5/ha·d</t>
        </is>
      </c>
      <c r="D8" s="67" t="n"/>
    </row>
    <row r="9" ht="18.75" customHeight="1" s="38">
      <c r="A9" s="44" t="inlineStr">
        <is>
          <t>Carga superficial real final</t>
        </is>
      </c>
      <c r="B9" s="68">
        <f>Calculos!B45</f>
        <v/>
      </c>
      <c r="C9" s="47" t="inlineStr">
        <is>
          <t>kg DBO5/ha·d</t>
        </is>
      </c>
      <c r="D9" s="67" t="n"/>
    </row>
    <row r="10" ht="18.75" customHeight="1" s="38">
      <c r="A10" s="44" t="inlineStr">
        <is>
          <t>TRH mínimo</t>
        </is>
      </c>
      <c r="B10" s="68">
        <f>Calculos!B29</f>
        <v/>
      </c>
      <c r="C10" s="47" t="inlineStr">
        <is>
          <t>d</t>
        </is>
      </c>
      <c r="D10" s="67" t="n"/>
    </row>
    <row r="11" ht="18.75" customHeight="1" s="38">
      <c r="A11" s="44" t="inlineStr">
        <is>
          <t>TRH final</t>
        </is>
      </c>
      <c r="B11" s="68">
        <f>Calculos!B44</f>
        <v/>
      </c>
      <c r="C11" s="47" t="inlineStr">
        <is>
          <t>d</t>
        </is>
      </c>
      <c r="D11" s="67" t="n"/>
    </row>
    <row r="12" ht="18.75" customHeight="1" s="38">
      <c r="A12" s="44" t="inlineStr">
        <is>
          <t>Número de lagunas en paralelo</t>
        </is>
      </c>
      <c r="B12" s="69">
        <f>'Datos de Entrada'!C20</f>
        <v/>
      </c>
      <c r="C12" s="47" t="inlineStr">
        <is>
          <t>unid</t>
        </is>
      </c>
      <c r="D12" s="67" t="n"/>
    </row>
    <row r="13" ht="18.75" customHeight="1" s="38">
      <c r="A13" s="44" t="inlineStr">
        <is>
          <t>Superficie total de lámina de agua</t>
        </is>
      </c>
      <c r="B13" s="68">
        <f>Calculos!B37</f>
        <v/>
      </c>
      <c r="C13" s="47" t="inlineStr">
        <is>
          <t>m²</t>
        </is>
      </c>
      <c r="D13" s="67" t="n"/>
    </row>
    <row r="14" ht="18.75" customHeight="1" s="38">
      <c r="A14" s="44" t="inlineStr">
        <is>
          <t>Superficie total de lámina de agua</t>
        </is>
      </c>
      <c r="B14" s="68">
        <f>Calculos!B38</f>
        <v/>
      </c>
      <c r="C14" s="47" t="inlineStr">
        <is>
          <t>ha</t>
        </is>
      </c>
      <c r="D14" s="67" t="n"/>
    </row>
    <row r="15" ht="18.75" customHeight="1" s="38">
      <c r="A15" s="44" t="inlineStr">
        <is>
          <t>Ancho por laguna</t>
        </is>
      </c>
      <c r="B15" s="68">
        <f>Calculos!B34</f>
        <v/>
      </c>
      <c r="C15" s="47" t="inlineStr">
        <is>
          <t>m</t>
        </is>
      </c>
      <c r="D15" s="67" t="n"/>
    </row>
    <row r="16" ht="18.75" customHeight="1" s="38">
      <c r="A16" s="44" t="inlineStr">
        <is>
          <t>Largo por laguna</t>
        </is>
      </c>
      <c r="B16" s="68">
        <f>Calculos!B35</f>
        <v/>
      </c>
      <c r="C16" s="47" t="inlineStr">
        <is>
          <t>m</t>
        </is>
      </c>
      <c r="D16" s="67" t="n"/>
    </row>
    <row r="17" ht="18.75" customHeight="1" s="38">
      <c r="A17" s="44" t="inlineStr">
        <is>
          <t>Profundidad útil</t>
        </is>
      </c>
      <c r="B17" s="68">
        <f>'Datos de Entrada'!C21</f>
        <v/>
      </c>
      <c r="C17" s="47" t="inlineStr">
        <is>
          <t>m</t>
        </is>
      </c>
      <c r="D17" s="67" t="n"/>
    </row>
    <row r="18" ht="18.75" customHeight="1" s="38">
      <c r="A18" s="44" t="inlineStr">
        <is>
          <t>Volumen útil total</t>
        </is>
      </c>
      <c r="B18" s="68">
        <f>Calculos!B43</f>
        <v/>
      </c>
      <c r="C18" s="47" t="inlineStr">
        <is>
          <t>m³</t>
        </is>
      </c>
      <c r="D18" s="67" t="n"/>
    </row>
    <row r="19" ht="18.75" customHeight="1" s="38">
      <c r="A19" s="44" t="inlineStr">
        <is>
          <t>DBO5 total esperada en efluente</t>
        </is>
      </c>
      <c r="B19" s="68">
        <f>Calculos!B59</f>
        <v/>
      </c>
      <c r="C19" s="47" t="inlineStr">
        <is>
          <t>mg/L</t>
        </is>
      </c>
      <c r="D19" s="67" t="n"/>
    </row>
    <row r="20" ht="18.75" customHeight="1" s="38">
      <c r="A20" s="44" t="inlineStr">
        <is>
          <t>Remoción estimada DBO5</t>
        </is>
      </c>
      <c r="B20" s="70">
        <f>Calculos!B60</f>
        <v/>
      </c>
      <c r="C20" s="47" t="inlineStr">
        <is>
          <t>fracción</t>
        </is>
      </c>
      <c r="D20" s="67" t="n"/>
    </row>
    <row r="21" ht="18.75" customHeight="1" s="38">
      <c r="A21" s="44" t="inlineStr">
        <is>
          <t>Coliformes esperados en efluente</t>
        </is>
      </c>
      <c r="B21" s="71">
        <f>Calculos!B68</f>
        <v/>
      </c>
      <c r="C21" s="47" t="inlineStr">
        <is>
          <t>NMP/100 mL</t>
        </is>
      </c>
      <c r="D21" s="67" t="n"/>
    </row>
    <row r="22" ht="18.75" customHeight="1" s="38">
      <c r="A22" s="44" t="inlineStr">
        <is>
          <t>Remoción logarítmica de coliformes</t>
        </is>
      </c>
      <c r="B22" s="68">
        <f>Calculos!B70</f>
        <v/>
      </c>
      <c r="C22" s="47" t="inlineStr">
        <is>
          <t>u. log</t>
        </is>
      </c>
      <c r="D22" s="67" t="n"/>
    </row>
    <row r="23" ht="18.75" customHeight="1" s="38">
      <c r="A23" s="44" t="inlineStr">
        <is>
          <t>Lodos al periodo de limpieza</t>
        </is>
      </c>
      <c r="B23" s="68">
        <f>Calculos!B74</f>
        <v/>
      </c>
      <c r="C23" s="47" t="inlineStr">
        <is>
          <t>m³</t>
        </is>
      </c>
      <c r="D23" s="67" t="n"/>
    </row>
    <row r="24" ht="33.75" customHeight="1" s="38">
      <c r="A24" s="44" t="inlineStr">
        <is>
          <t>Resultado hidráulico-geométrico</t>
        </is>
      </c>
      <c r="B24" s="72">
        <f>Calculos!B98</f>
        <v/>
      </c>
      <c r="C24" s="47" t="inlineStr">
        <is>
          <t>-</t>
        </is>
      </c>
      <c r="D24" s="67" t="n"/>
    </row>
    <row r="25" ht="33.75" customHeight="1" s="38">
      <c r="A25" s="44" t="inlineStr">
        <is>
          <t>Resultado de calidad de efluente</t>
        </is>
      </c>
      <c r="B25" s="72">
        <f>Calculos!B99</f>
        <v/>
      </c>
      <c r="C25" s="47" t="inlineStr">
        <is>
          <t>-</t>
        </is>
      </c>
      <c r="D25" s="67" t="n"/>
    </row>
    <row r="26" ht="42" customHeight="1" s="38">
      <c r="A26" s="41" t="n"/>
      <c r="B26" s="41" t="n"/>
      <c r="C26" s="41" t="n"/>
      <c r="D26" s="41" t="n"/>
    </row>
    <row r="27" ht="69.75" customHeight="1" s="38">
      <c r="A27" s="57" t="inlineStr">
        <is>
          <t>Lógica de diseño: 1) se obtiene la carga superficial máxima por temperatura; 2) se calcula la superficie requerida por DBO5; 3) se calcula el volumen real con geometría prismoidal y taludes; 4) se verifica el TRH mínimo de la zona ecológica; 5) si el TRH gobierna, se redimensiona la geometría; 6) se modelan DBO5 y coliformes con flujo disperso; 7) se verifican criterios constructivos, ambientales y necesidad de postratamiento.</t>
        </is>
      </c>
    </row>
    <row r="28"/>
    <row r="29" ht="42" customHeight="1" s="38">
      <c r="A29" s="57" t="inlineStr">
        <is>
          <t>Fuente principal: Guía técnica para la selección y diseño de líneas de tratamiento de aguas residuales - Módulo 2, Cap. 7.3 Lagunas de Estabilización (MMAyA/VAPSB; CEDEX). https://ceh.cedex.es/web/documentos/FCAS/2_Guia_PTAR_Bolivia.pdf</t>
        </is>
      </c>
    </row>
  </sheetData>
  <mergeCells count="3">
    <mergeCell ref="A1:D1"/>
    <mergeCell ref="A27:D27"/>
    <mergeCell ref="A29:D29"/>
  </mergeCells>
  <conditionalFormatting sqref="B24">
    <cfRule type="expression" rank="0" priority="2" equalAverage="0" aboveAverage="0" dxfId="0" text="" percent="0" bottom="0">
      <formula>ISNUMBER(SEARCH("APTO",B24))</formula>
    </cfRule>
    <cfRule type="expression" rank="0" priority="3" equalAverage="0" aboveAverage="0" dxfId="1" text="" percent="0" bottom="0">
      <formula>ISNUMBER(SEARCH("REVISAR",B24))</formula>
    </cfRule>
  </conditionalFormatting>
  <conditionalFormatting sqref="B25">
    <cfRule type="expression" rank="0" priority="4" equalAverage="0" aboveAverage="0" dxfId="0" text="" percent="0" bottom="0">
      <formula>ISNUMBER(SEARCH("CUMPLE OBJETIVOS",B25))</formula>
    </cfRule>
    <cfRule type="expression" rank="0" priority="5" equalAverage="0" aboveAverage="0" dxfId="1" text="" percent="0" bottom="0">
      <formula>ISNUMBER(SEARCH("POSTRATAMIENTO",B25))</formula>
    </cfRule>
  </conditionalFormatting>
  <printOptions horizontalCentered="0" verticalCentered="0" headings="0" gridLines="0" gridLinesSet="1"/>
  <pageMargins left="0.3" right="0.3" top="0.5" bottom="0.5" header="0.511811023622047" footer="0.511811023622047"/>
  <pageSetup orientation="portrait" paperSize="9" scale="100" fitToHeight="0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1"/>
  </sheetPr>
  <dimension ref="A1:L59"/>
  <sheetViews>
    <sheetView showFormulas="0" showGridLines="0" showRowColHeaders="1" showZeros="1" rightToLeft="0" tabSelected="1" showOutlineSymbols="1" defaultGridColor="1" view="normal" topLeftCell="A36" colorId="64" zoomScale="100" zoomScaleNormal="100" zoomScalePageLayoutView="100" workbookViewId="0">
      <selection pane="topLeft" activeCell="I55" activeCellId="0" sqref="I55"/>
    </sheetView>
  </sheetViews>
  <sheetFormatPr baseColWidth="8" defaultColWidth="8.66796875" defaultRowHeight="14.25" customHeight="1" zeroHeight="0" outlineLevelRow="0"/>
  <cols>
    <col width="12" customWidth="1" style="37" min="1" max="12"/>
  </cols>
  <sheetData>
    <row r="1" ht="24" customHeight="1" s="38">
      <c r="A1" s="39" t="inlineStr">
        <is>
          <t>LAGUNA FACULTATIVA - ESQUEMAS DE DISEÑO</t>
        </is>
      </c>
    </row>
    <row r="2" ht="36" customHeight="1" s="38">
      <c r="A2" s="40" t="inlineStr">
        <is>
          <t>Esquemas generados con los datos del ejemplo inicial. Los cálculos del Excel se actualizan al cambiar entradas; las imágenes son ilustrativas y deben regenerarse si se requieren planos con las nuevas dimensiones.</t>
        </is>
      </c>
    </row>
    <row r="3" ht="14.25" customHeight="1" s="38">
      <c r="A3" s="41" t="n"/>
    </row>
    <row r="4" ht="14.25" customHeight="1" s="38">
      <c r="A4" s="41" t="n"/>
    </row>
    <row r="5" ht="14.25" customHeight="1" s="38">
      <c r="A5" s="41" t="n"/>
    </row>
    <row r="6" ht="14.25" customHeight="1" s="38">
      <c r="A6" s="41" t="n"/>
    </row>
    <row r="7" ht="14.25" customHeight="1" s="38">
      <c r="A7" s="41" t="n"/>
    </row>
    <row r="8" ht="14.25" customHeight="1" s="38">
      <c r="A8" s="41" t="n"/>
    </row>
    <row r="9" ht="14.25" customHeight="1" s="38">
      <c r="A9" s="41" t="n"/>
    </row>
    <row r="10" ht="14.25" customHeight="1" s="38">
      <c r="A10" s="41" t="n"/>
    </row>
    <row r="11" ht="14.25" customHeight="1" s="38">
      <c r="A11" s="41" t="n"/>
    </row>
    <row r="12" ht="14.25" customHeight="1" s="38">
      <c r="A12" s="41" t="n"/>
    </row>
    <row r="13" ht="14.25" customHeight="1" s="38">
      <c r="A13" s="41" t="n"/>
    </row>
    <row r="14" ht="14.25" customHeight="1" s="38">
      <c r="A14" s="41" t="n"/>
    </row>
    <row r="15" ht="14.25" customHeight="1" s="38">
      <c r="A15" s="41" t="n"/>
    </row>
    <row r="16" ht="14.25" customHeight="1" s="38">
      <c r="A16" s="41" t="n"/>
    </row>
    <row r="17" ht="14.25" customHeight="1" s="38">
      <c r="A17" s="41" t="n"/>
    </row>
    <row r="18" ht="14.25" customHeight="1" s="38">
      <c r="A18" s="41" t="n"/>
    </row>
    <row r="19" ht="14.25" customHeight="1" s="38">
      <c r="A19" s="41" t="n"/>
    </row>
    <row r="20" ht="14.25" customHeight="1" s="38">
      <c r="A20" s="41" t="n"/>
    </row>
    <row r="21" ht="14.25" customHeight="1" s="38">
      <c r="A21" s="41" t="n"/>
    </row>
    <row r="22" ht="14.25" customHeight="1" s="38">
      <c r="A22" s="41" t="n"/>
    </row>
    <row r="23" ht="14.25" customHeight="1" s="38">
      <c r="A23" s="41" t="n"/>
    </row>
    <row r="24" ht="14.25" customHeight="1" s="38">
      <c r="A24" s="41" t="n"/>
    </row>
    <row r="25" ht="14.25" customHeight="1" s="38">
      <c r="A25" s="41" t="n"/>
    </row>
    <row r="26" ht="14.25" customHeight="1" s="38">
      <c r="A26" s="41" t="n"/>
    </row>
    <row r="27" ht="14.25" customHeight="1" s="38">
      <c r="A27" s="41" t="n"/>
    </row>
    <row r="28" ht="14.25" customHeight="1" s="38">
      <c r="A28" s="41" t="n"/>
    </row>
    <row r="29" ht="14.25" customHeight="1" s="38">
      <c r="A29" s="41" t="n"/>
    </row>
    <row r="30" ht="14.25" customHeight="1" s="38">
      <c r="A30" s="41" t="n"/>
    </row>
    <row r="31" ht="14.25" customHeight="1" s="38">
      <c r="A31" s="41" t="n"/>
    </row>
    <row r="32" ht="14.25" customHeight="1" s="38">
      <c r="A32" s="41" t="n"/>
    </row>
    <row r="33" ht="14.25" customHeight="1" s="38">
      <c r="A33" s="41" t="n"/>
    </row>
    <row r="34" ht="14.25" customHeight="1" s="38">
      <c r="A34" s="41" t="n"/>
    </row>
    <row r="35" ht="14.25" customHeight="1" s="38">
      <c r="A35" s="41" t="n"/>
    </row>
    <row r="36" ht="14.25" customHeight="1" s="38">
      <c r="A36" s="41" t="n"/>
    </row>
    <row r="37" ht="14.25" customHeight="1" s="38">
      <c r="A37" s="41" t="n"/>
    </row>
    <row r="38" ht="14.25" customHeight="1" s="38">
      <c r="A38" s="41" t="n"/>
    </row>
    <row r="39" ht="14.25" customHeight="1" s="38">
      <c r="A39" s="41" t="n"/>
    </row>
    <row r="40" ht="14.25" customHeight="1" s="38">
      <c r="A40" s="41" t="n"/>
    </row>
    <row r="41" ht="14.25" customHeight="1" s="38">
      <c r="A41" s="41" t="n"/>
    </row>
    <row r="42" ht="14.25" customHeight="1" s="38">
      <c r="A42" s="41" t="n"/>
    </row>
    <row r="43" ht="14.25" customHeight="1" s="38">
      <c r="A43" s="41" t="n"/>
    </row>
    <row r="44" ht="14.25" customHeight="1" s="38">
      <c r="A44" s="41" t="n"/>
    </row>
    <row r="45" ht="14.25" customHeight="1" s="38">
      <c r="A45" s="41" t="n"/>
    </row>
    <row r="46" ht="14.25" customHeight="1" s="38">
      <c r="A46" s="41" t="n"/>
    </row>
    <row r="47" ht="14.25" customHeight="1" s="38">
      <c r="A47" s="41" t="n"/>
    </row>
    <row r="48" ht="14.25" customHeight="1" s="38">
      <c r="A48" s="41" t="n"/>
    </row>
    <row r="49" ht="14.25" customHeight="1" s="38">
      <c r="A49" s="41" t="n"/>
    </row>
    <row r="50" ht="14.25" customHeight="1" s="38">
      <c r="A50" s="41" t="n"/>
    </row>
    <row r="51" ht="14.25" customHeight="1" s="38">
      <c r="A51" s="41" t="n"/>
    </row>
    <row r="52" ht="14.25" customHeight="1" s="38">
      <c r="A52" s="41" t="n"/>
    </row>
    <row r="53" ht="14.25" customHeight="1" s="38">
      <c r="A53" s="41" t="n"/>
    </row>
    <row r="54" ht="14.25" customHeight="1" s="38">
      <c r="A54" s="41" t="n"/>
    </row>
    <row r="55" ht="14.25" customHeight="1" s="38">
      <c r="A55" s="41" t="n"/>
    </row>
    <row r="56" ht="14.25" customHeight="1" s="38">
      <c r="A56" s="41" t="n"/>
    </row>
    <row r="57" ht="14.25" customHeight="1" s="38">
      <c r="A57" s="41" t="n"/>
    </row>
    <row r="58" ht="14.25" customHeight="1" s="38">
      <c r="A58" s="41" t="n"/>
    </row>
    <row r="59" ht="42" customHeight="1" s="38">
      <c r="A59" s="57" t="inlineStr">
        <is>
          <t>Fuente principal: Guía técnica para la selección y diseño de líneas de tratamiento de aguas residuales - Módulo 2, Cap. 7.3 Lagunas de Estabilización (MMAyA/VAPSB; CEDEX). https://ceh.cedex.es/web/documentos/FCAS/2_Guia_PTAR_Bolivia.pdf</t>
        </is>
      </c>
    </row>
  </sheetData>
  <mergeCells count="3">
    <mergeCell ref="A2:L2"/>
    <mergeCell ref="A1:L1"/>
    <mergeCell ref="A59:L59"/>
  </mergeCells>
  <printOptions horizontalCentered="0" verticalCentered="0" headings="0" gridLines="0" gridLinesSet="1"/>
  <pageMargins left="0.3" right="0.3" top="0.5" bottom="0.5" header="0.511811023622047" footer="0.511811023622047"/>
  <pageSetup orientation="portrait" paperSize="9" scale="100" fitToHeight="0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2026-09-14T22:37:04Z</dcterms:created>
  <dcterms:modified xmlns:dcterms="http://purl.org/dc/terms/" xmlns:xsi="http://www.w3.org/2001/XMLSchema-instance" xsi:type="dcterms:W3CDTF">2026-09-14T23:24:45Z</dcterms:modified>
  <cp:lastModifiedBy>Usuario</cp:lastModifiedBy>
  <cp:revision>0</cp:revision>
</cp:coreProperties>
</file>